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ntoniooddone\Desktop\"/>
    </mc:Choice>
  </mc:AlternateContent>
  <xr:revisionPtr revIDLastSave="0" documentId="13_ncr:1_{BCF45820-7984-4A79-98F3-D4E74F5E4974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Quadro Economico" sheetId="1" r:id="rId1"/>
    <sheet name="Investimenti e ammortamenti" sheetId="2" r:id="rId2"/>
    <sheet name="Conto Economico prospettico" sheetId="4" r:id="rId3"/>
    <sheet name="Stato Patrimoniale prospettico" sheetId="6" r:id="rId4"/>
    <sheet name="Cash Flow" sheetId="5" r:id="rId5"/>
    <sheet name="VAN e DSC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B14" i="5"/>
  <c r="B12" i="4"/>
  <c r="B15" i="4"/>
  <c r="B14" i="4"/>
  <c r="B9" i="4"/>
  <c r="C9" i="4" s="1"/>
  <c r="D9" i="4" s="1"/>
  <c r="E9" i="4" s="1"/>
  <c r="F9" i="4" s="1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B7" i="4"/>
  <c r="C7" i="4" s="1"/>
  <c r="B8" i="4"/>
  <c r="C8" i="4" s="1"/>
  <c r="B6" i="4"/>
  <c r="C6" i="4" s="1"/>
  <c r="B5" i="4"/>
  <c r="C5" i="4" s="1"/>
  <c r="D18" i="2"/>
  <c r="E18" i="2"/>
  <c r="F18" i="2"/>
  <c r="G18" i="2"/>
  <c r="D16" i="2"/>
  <c r="P16" i="2"/>
  <c r="D15" i="2"/>
  <c r="P15" i="2"/>
  <c r="D14" i="2"/>
  <c r="P14" i="2"/>
  <c r="C15" i="2"/>
  <c r="C16" i="2"/>
  <c r="C18" i="2"/>
  <c r="M13" i="2"/>
  <c r="N13" i="2"/>
  <c r="Y13" i="2"/>
  <c r="Z13" i="2"/>
  <c r="C9" i="2"/>
  <c r="H17" i="2" s="1"/>
  <c r="C8" i="2"/>
  <c r="H16" i="2" s="1"/>
  <c r="C7" i="2"/>
  <c r="H15" i="2" s="1"/>
  <c r="C6" i="2"/>
  <c r="H14" i="2" s="1"/>
  <c r="C5" i="2"/>
  <c r="Q13" i="2" s="1"/>
  <c r="X14" i="2" l="1"/>
  <c r="L15" i="2"/>
  <c r="L17" i="2"/>
  <c r="V15" i="2"/>
  <c r="S14" i="2"/>
  <c r="G14" i="2"/>
  <c r="S15" i="2"/>
  <c r="G15" i="2"/>
  <c r="S16" i="2"/>
  <c r="G16" i="2"/>
  <c r="S17" i="2"/>
  <c r="G17" i="2"/>
  <c r="P17" i="2"/>
  <c r="W13" i="2"/>
  <c r="K13" i="2"/>
  <c r="Z14" i="2"/>
  <c r="N14" i="2"/>
  <c r="Z15" i="2"/>
  <c r="N15" i="2"/>
  <c r="Z16" i="2"/>
  <c r="N16" i="2"/>
  <c r="Z17" i="2"/>
  <c r="N17" i="2"/>
  <c r="V13" i="2"/>
  <c r="J13" i="2"/>
  <c r="M14" i="2"/>
  <c r="Y16" i="2"/>
  <c r="U13" i="2"/>
  <c r="I13" i="2"/>
  <c r="L14" i="2"/>
  <c r="X15" i="2"/>
  <c r="X16" i="2"/>
  <c r="L16" i="2"/>
  <c r="X17" i="2"/>
  <c r="S13" i="2"/>
  <c r="V17" i="2"/>
  <c r="D13" i="2"/>
  <c r="P13" i="2"/>
  <c r="AA13" i="2"/>
  <c r="O13" i="2"/>
  <c r="C17" i="2"/>
  <c r="R14" i="2"/>
  <c r="F14" i="2"/>
  <c r="R15" i="2"/>
  <c r="F15" i="2"/>
  <c r="R16" i="2"/>
  <c r="F16" i="2"/>
  <c r="R17" i="2"/>
  <c r="F17" i="2"/>
  <c r="Q14" i="2"/>
  <c r="E14" i="2"/>
  <c r="Q15" i="2"/>
  <c r="E15" i="2"/>
  <c r="Q16" i="2"/>
  <c r="E16" i="2"/>
  <c r="Q17" i="2"/>
  <c r="E17" i="2"/>
  <c r="D17" i="2"/>
  <c r="X13" i="2"/>
  <c r="L13" i="2"/>
  <c r="AA14" i="2"/>
  <c r="O14" i="2"/>
  <c r="AA15" i="2"/>
  <c r="O15" i="2"/>
  <c r="AA16" i="2"/>
  <c r="O16" i="2"/>
  <c r="AA17" i="2"/>
  <c r="O17" i="2"/>
  <c r="Y14" i="2"/>
  <c r="Y15" i="2"/>
  <c r="M15" i="2"/>
  <c r="M16" i="2"/>
  <c r="Y17" i="2"/>
  <c r="M17" i="2"/>
  <c r="T13" i="2"/>
  <c r="H13" i="2"/>
  <c r="W14" i="2"/>
  <c r="K14" i="2"/>
  <c r="W15" i="2"/>
  <c r="K15" i="2"/>
  <c r="W16" i="2"/>
  <c r="K16" i="2"/>
  <c r="W17" i="2"/>
  <c r="K17" i="2"/>
  <c r="G13" i="2"/>
  <c r="V14" i="2"/>
  <c r="J14" i="2"/>
  <c r="J15" i="2"/>
  <c r="V16" i="2"/>
  <c r="J16" i="2"/>
  <c r="J17" i="2"/>
  <c r="C13" i="2"/>
  <c r="F13" i="2"/>
  <c r="U14" i="2"/>
  <c r="I14" i="2"/>
  <c r="U15" i="2"/>
  <c r="I15" i="2"/>
  <c r="U16" i="2"/>
  <c r="I16" i="2"/>
  <c r="U17" i="2"/>
  <c r="I17" i="2"/>
  <c r="R13" i="2"/>
  <c r="E13" i="2"/>
  <c r="C14" i="2"/>
  <c r="T14" i="2"/>
  <c r="T15" i="2"/>
  <c r="T16" i="2"/>
  <c r="T17" i="2"/>
  <c r="E9" i="1" l="1"/>
  <c r="B18" i="1"/>
  <c r="B12" i="5" l="1"/>
  <c r="B16" i="5" s="1"/>
  <c r="B43" i="6"/>
  <c r="B30" i="1"/>
  <c r="B25" i="1"/>
  <c r="E50" i="1"/>
  <c r="E49" i="1"/>
  <c r="E43" i="1"/>
  <c r="E42" i="1"/>
  <c r="E34" i="1"/>
  <c r="E31" i="1"/>
  <c r="E32" i="1"/>
  <c r="E30" i="1"/>
  <c r="E21" i="1"/>
  <c r="E20" i="1"/>
  <c r="E18" i="1"/>
  <c r="E17" i="1"/>
  <c r="E26" i="1" s="1"/>
  <c r="E11" i="1"/>
  <c r="C15" i="4"/>
  <c r="D15" i="4" s="1"/>
  <c r="E15" i="4" s="1"/>
  <c r="F15" i="4" s="1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C16" i="4"/>
  <c r="D44" i="6" l="1"/>
  <c r="D27" i="6" s="1"/>
  <c r="P44" i="6"/>
  <c r="P27" i="6" s="1"/>
  <c r="E44" i="6"/>
  <c r="E27" i="6" s="1"/>
  <c r="Q44" i="6"/>
  <c r="Q27" i="6" s="1"/>
  <c r="R44" i="6"/>
  <c r="R27" i="6" s="1"/>
  <c r="G44" i="6"/>
  <c r="G27" i="6" s="1"/>
  <c r="S44" i="6"/>
  <c r="S27" i="6" s="1"/>
  <c r="H44" i="6"/>
  <c r="H27" i="6" s="1"/>
  <c r="T44" i="6"/>
  <c r="T27" i="6" s="1"/>
  <c r="I44" i="6"/>
  <c r="I27" i="6" s="1"/>
  <c r="U44" i="6"/>
  <c r="U27" i="6" s="1"/>
  <c r="J44" i="6"/>
  <c r="J27" i="6" s="1"/>
  <c r="V44" i="6"/>
  <c r="V27" i="6" s="1"/>
  <c r="K44" i="6"/>
  <c r="K27" i="6" s="1"/>
  <c r="W44" i="6"/>
  <c r="W27" i="6" s="1"/>
  <c r="L44" i="6"/>
  <c r="L27" i="6" s="1"/>
  <c r="X44" i="6"/>
  <c r="X27" i="6" s="1"/>
  <c r="M44" i="6"/>
  <c r="M27" i="6" s="1"/>
  <c r="Y44" i="6"/>
  <c r="Y27" i="6" s="1"/>
  <c r="N44" i="6"/>
  <c r="N27" i="6" s="1"/>
  <c r="Z44" i="6"/>
  <c r="Z27" i="6" s="1"/>
  <c r="F44" i="6"/>
  <c r="F27" i="6" s="1"/>
  <c r="C44" i="6"/>
  <c r="C27" i="6" s="1"/>
  <c r="O44" i="6"/>
  <c r="O27" i="6" s="1"/>
  <c r="B44" i="6"/>
  <c r="E52" i="1"/>
  <c r="E45" i="1"/>
  <c r="E38" i="1"/>
  <c r="B26" i="1"/>
  <c r="B49" i="6"/>
  <c r="C47" i="6" s="1"/>
  <c r="C49" i="6" s="1"/>
  <c r="D47" i="6" s="1"/>
  <c r="D49" i="6" s="1"/>
  <c r="E47" i="6" s="1"/>
  <c r="E49" i="6" s="1"/>
  <c r="F47" i="6" s="1"/>
  <c r="F49" i="6" s="1"/>
  <c r="G47" i="6" s="1"/>
  <c r="G49" i="6" s="1"/>
  <c r="H47" i="6" s="1"/>
  <c r="H49" i="6" s="1"/>
  <c r="I47" i="6" s="1"/>
  <c r="I49" i="6" s="1"/>
  <c r="J47" i="6" s="1"/>
  <c r="J49" i="6" s="1"/>
  <c r="K47" i="6" s="1"/>
  <c r="K49" i="6" s="1"/>
  <c r="L47" i="6" s="1"/>
  <c r="L49" i="6" s="1"/>
  <c r="M47" i="6" s="1"/>
  <c r="M49" i="6" s="1"/>
  <c r="N47" i="6" s="1"/>
  <c r="N49" i="6" s="1"/>
  <c r="O47" i="6" s="1"/>
  <c r="O49" i="6" s="1"/>
  <c r="P47" i="6" s="1"/>
  <c r="P49" i="6" s="1"/>
  <c r="Q47" i="6" s="1"/>
  <c r="Q49" i="6" s="1"/>
  <c r="R47" i="6" s="1"/>
  <c r="R49" i="6" s="1"/>
  <c r="S47" i="6" s="1"/>
  <c r="S49" i="6" s="1"/>
  <c r="T47" i="6" s="1"/>
  <c r="T49" i="6" s="1"/>
  <c r="U47" i="6" s="1"/>
  <c r="U49" i="6" s="1"/>
  <c r="V47" i="6" s="1"/>
  <c r="V49" i="6" s="1"/>
  <c r="W47" i="6" s="1"/>
  <c r="W49" i="6" s="1"/>
  <c r="X47" i="6" s="1"/>
  <c r="X49" i="6" s="1"/>
  <c r="Y47" i="6" s="1"/>
  <c r="Y49" i="6" s="1"/>
  <c r="Z47" i="6" s="1"/>
  <c r="Z49" i="6" s="1"/>
  <c r="B47" i="6"/>
  <c r="B52" i="6" l="1"/>
  <c r="C15" i="5"/>
  <c r="B27" i="6"/>
  <c r="E55" i="1"/>
  <c r="B51" i="6"/>
  <c r="B45" i="6"/>
  <c r="B33" i="6" s="1"/>
  <c r="D6" i="7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C43" i="6" l="1"/>
  <c r="D7" i="4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C17" i="4"/>
  <c r="D17" i="4" s="1"/>
  <c r="E17" i="4" s="1"/>
  <c r="F17" i="4" s="1"/>
  <c r="G17" i="4" s="1"/>
  <c r="H17" i="4" s="1"/>
  <c r="I17" i="4" s="1"/>
  <c r="J17" i="4" s="1"/>
  <c r="K17" i="4" s="1"/>
  <c r="L17" i="4" s="1"/>
  <c r="M17" i="4" s="1"/>
  <c r="N17" i="4" s="1"/>
  <c r="O17" i="4" s="1"/>
  <c r="P17" i="4" s="1"/>
  <c r="Q17" i="4" s="1"/>
  <c r="R17" i="4" s="1"/>
  <c r="S17" i="4" s="1"/>
  <c r="T17" i="4" s="1"/>
  <c r="U17" i="4" s="1"/>
  <c r="V17" i="4" s="1"/>
  <c r="W17" i="4" s="1"/>
  <c r="X17" i="4" s="1"/>
  <c r="Y17" i="4" s="1"/>
  <c r="Z17" i="4" s="1"/>
  <c r="C52" i="6" l="1"/>
  <c r="C51" i="6"/>
  <c r="B10" i="4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D10" i="7"/>
  <c r="C10" i="7"/>
  <c r="C45" i="6" l="1"/>
  <c r="D43" i="6" l="1"/>
  <c r="C33" i="6"/>
  <c r="U31" i="6"/>
  <c r="V31" i="6"/>
  <c r="W31" i="6"/>
  <c r="X31" i="6"/>
  <c r="Y31" i="6"/>
  <c r="Z31" i="6"/>
  <c r="D51" i="6" l="1"/>
  <c r="D8" i="4"/>
  <c r="E8" i="4" s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Y8" i="4" s="1"/>
  <c r="Z8" i="4" s="1"/>
  <c r="D52" i="6" l="1"/>
  <c r="D45" i="6"/>
  <c r="D33" i="6" l="1"/>
  <c r="E43" i="6"/>
  <c r="E51" i="6" l="1"/>
  <c r="E52" i="6"/>
  <c r="E45" i="6"/>
  <c r="F43" i="6" l="1"/>
  <c r="E33" i="6"/>
  <c r="F52" i="6" l="1"/>
  <c r="F51" i="6"/>
  <c r="F45" i="6"/>
  <c r="B8" i="5"/>
  <c r="D6" i="4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D16" i="4"/>
  <c r="E16" i="4" s="1"/>
  <c r="C13" i="4"/>
  <c r="D13" i="4" s="1"/>
  <c r="E13" i="4" s="1"/>
  <c r="F13" i="4" s="1"/>
  <c r="C12" i="4"/>
  <c r="D12" i="4" s="1"/>
  <c r="E12" i="4" s="1"/>
  <c r="F12" i="4" s="1"/>
  <c r="D35" i="6"/>
  <c r="E35" i="6"/>
  <c r="C35" i="6"/>
  <c r="B35" i="6"/>
  <c r="K12" i="2"/>
  <c r="J23" i="4" s="1"/>
  <c r="E12" i="2"/>
  <c r="D23" i="4" s="1"/>
  <c r="W12" i="2"/>
  <c r="V23" i="4" s="1"/>
  <c r="X12" i="2"/>
  <c r="W23" i="4" s="1"/>
  <c r="Y12" i="2"/>
  <c r="X23" i="4" s="1"/>
  <c r="Z12" i="2"/>
  <c r="Y23" i="4" s="1"/>
  <c r="AA12" i="2"/>
  <c r="V12" i="2"/>
  <c r="U23" i="4" s="1"/>
  <c r="R12" i="2"/>
  <c r="Q23" i="4" s="1"/>
  <c r="N12" i="2"/>
  <c r="M23" i="4" s="1"/>
  <c r="J12" i="2"/>
  <c r="I23" i="4" s="1"/>
  <c r="G12" i="2"/>
  <c r="F23" i="4" s="1"/>
  <c r="F12" i="2"/>
  <c r="E23" i="4" s="1"/>
  <c r="D12" i="2"/>
  <c r="C23" i="4" s="1"/>
  <c r="C4" i="2"/>
  <c r="B27" i="1"/>
  <c r="B31" i="1" s="1"/>
  <c r="C21" i="2" l="1"/>
  <c r="B8" i="6" s="1"/>
  <c r="G21" i="2"/>
  <c r="G43" i="6"/>
  <c r="F33" i="6"/>
  <c r="F35" i="6" s="1"/>
  <c r="B32" i="1"/>
  <c r="F16" i="4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C14" i="4"/>
  <c r="D14" i="4" s="1"/>
  <c r="E14" i="4" s="1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B19" i="4"/>
  <c r="G12" i="4"/>
  <c r="G13" i="4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M10" i="5"/>
  <c r="J10" i="5"/>
  <c r="I10" i="5"/>
  <c r="C10" i="5"/>
  <c r="F10" i="5"/>
  <c r="C10" i="4"/>
  <c r="Z23" i="4"/>
  <c r="Z10" i="5"/>
  <c r="W10" i="5"/>
  <c r="X10" i="5"/>
  <c r="V10" i="5"/>
  <c r="Y10" i="5"/>
  <c r="U10" i="5"/>
  <c r="Q10" i="5"/>
  <c r="E10" i="5"/>
  <c r="D10" i="5"/>
  <c r="D4" i="2"/>
  <c r="D5" i="4"/>
  <c r="D10" i="4" s="1"/>
  <c r="O12" i="2"/>
  <c r="S12" i="2"/>
  <c r="U12" i="2"/>
  <c r="M12" i="2"/>
  <c r="L23" i="4" s="1"/>
  <c r="E4" i="2"/>
  <c r="L12" i="2"/>
  <c r="K23" i="4" s="1"/>
  <c r="Q12" i="2"/>
  <c r="I12" i="2"/>
  <c r="C12" i="2"/>
  <c r="B10" i="5" s="1"/>
  <c r="H12" i="2"/>
  <c r="P12" i="2"/>
  <c r="T12" i="2"/>
  <c r="C19" i="2"/>
  <c r="D19" i="2" s="1"/>
  <c r="E19" i="2" s="1"/>
  <c r="F19" i="2" s="1"/>
  <c r="G19" i="2" s="1"/>
  <c r="C31" i="6"/>
  <c r="C37" i="6" s="1"/>
  <c r="D31" i="6"/>
  <c r="D37" i="6" s="1"/>
  <c r="E31" i="6"/>
  <c r="E37" i="6" s="1"/>
  <c r="F31" i="6"/>
  <c r="F37" i="6" s="1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B31" i="6"/>
  <c r="B37" i="6" s="1"/>
  <c r="F21" i="2" l="1"/>
  <c r="E21" i="2"/>
  <c r="D21" i="2"/>
  <c r="G51" i="6"/>
  <c r="G52" i="6"/>
  <c r="B34" i="1"/>
  <c r="B37" i="1" s="1"/>
  <c r="R16" i="4"/>
  <c r="S16" i="4" s="1"/>
  <c r="T16" i="4" s="1"/>
  <c r="U16" i="4" s="1"/>
  <c r="V16" i="4" s="1"/>
  <c r="W16" i="4" s="1"/>
  <c r="X16" i="4" s="1"/>
  <c r="Y16" i="4" s="1"/>
  <c r="Z16" i="4" s="1"/>
  <c r="D19" i="4"/>
  <c r="D21" i="4" s="1"/>
  <c r="D26" i="4" s="1"/>
  <c r="C19" i="4"/>
  <c r="C21" i="4" s="1"/>
  <c r="C26" i="4" s="1"/>
  <c r="C6" i="5" s="1"/>
  <c r="C27" i="5" s="1"/>
  <c r="C30" i="5" s="1"/>
  <c r="E19" i="4"/>
  <c r="H19" i="2"/>
  <c r="H12" i="4"/>
  <c r="G19" i="4"/>
  <c r="F19" i="4"/>
  <c r="D8" i="6"/>
  <c r="D10" i="6" s="1"/>
  <c r="C8" i="6"/>
  <c r="C10" i="6" s="1"/>
  <c r="X4" i="2"/>
  <c r="Y4" i="2"/>
  <c r="S23" i="4"/>
  <c r="S10" i="5"/>
  <c r="O23" i="4"/>
  <c r="O10" i="5"/>
  <c r="T23" i="4"/>
  <c r="T10" i="5"/>
  <c r="N23" i="4"/>
  <c r="N10" i="5"/>
  <c r="P23" i="4"/>
  <c r="P10" i="5"/>
  <c r="R23" i="4"/>
  <c r="R10" i="5"/>
  <c r="H23" i="4"/>
  <c r="H10" i="5"/>
  <c r="G23" i="4"/>
  <c r="G10" i="5"/>
  <c r="L10" i="5"/>
  <c r="K10" i="5"/>
  <c r="F4" i="2"/>
  <c r="E5" i="4"/>
  <c r="E10" i="4" s="1"/>
  <c r="B21" i="4"/>
  <c r="I4" i="2"/>
  <c r="G4" i="2"/>
  <c r="F8" i="6" s="1"/>
  <c r="H4" i="2"/>
  <c r="I19" i="2" l="1"/>
  <c r="H21" i="2"/>
  <c r="G45" i="6"/>
  <c r="I12" i="4"/>
  <c r="H19" i="4"/>
  <c r="B26" i="4"/>
  <c r="B6" i="5" s="1"/>
  <c r="B10" i="6"/>
  <c r="AA4" i="2"/>
  <c r="Z4" i="2"/>
  <c r="E8" i="6"/>
  <c r="E10" i="6" s="1"/>
  <c r="D30" i="4"/>
  <c r="C30" i="4"/>
  <c r="C32" i="4" s="1"/>
  <c r="F5" i="4"/>
  <c r="F10" i="4" s="1"/>
  <c r="E21" i="4"/>
  <c r="E26" i="4" s="1"/>
  <c r="J4" i="2"/>
  <c r="J19" i="2" l="1"/>
  <c r="I21" i="2"/>
  <c r="H43" i="6"/>
  <c r="G33" i="6"/>
  <c r="G35" i="6" s="1"/>
  <c r="G37" i="6" s="1"/>
  <c r="B9" i="5"/>
  <c r="B11" i="5" s="1"/>
  <c r="B27" i="5"/>
  <c r="B30" i="5" s="1"/>
  <c r="D32" i="4"/>
  <c r="D8" i="5" s="1"/>
  <c r="J12" i="4"/>
  <c r="I19" i="4"/>
  <c r="C8" i="5"/>
  <c r="C9" i="5" s="1"/>
  <c r="C11" i="5" s="1"/>
  <c r="C13" i="5" s="1"/>
  <c r="B30" i="4"/>
  <c r="B34" i="4" s="1"/>
  <c r="B23" i="6" s="1"/>
  <c r="B25" i="6" s="1"/>
  <c r="B39" i="6" s="1"/>
  <c r="H8" i="6"/>
  <c r="H10" i="6" s="1"/>
  <c r="G8" i="6"/>
  <c r="G10" i="6" s="1"/>
  <c r="F10" i="6"/>
  <c r="D6" i="5"/>
  <c r="D27" i="5" s="1"/>
  <c r="D30" i="5" s="1"/>
  <c r="E6" i="5"/>
  <c r="E27" i="5" s="1"/>
  <c r="E30" i="5" s="1"/>
  <c r="E30" i="4"/>
  <c r="G5" i="4"/>
  <c r="G10" i="4" s="1"/>
  <c r="F21" i="4"/>
  <c r="F26" i="4" s="1"/>
  <c r="K4" i="2"/>
  <c r="K19" i="2" l="1"/>
  <c r="J21" i="2"/>
  <c r="I8" i="6" s="1"/>
  <c r="I10" i="6" s="1"/>
  <c r="H52" i="6"/>
  <c r="H45" i="6"/>
  <c r="H51" i="6"/>
  <c r="D9" i="5"/>
  <c r="D11" i="5" s="1"/>
  <c r="D13" i="5" s="1"/>
  <c r="E5" i="7" s="1"/>
  <c r="E7" i="7" s="1"/>
  <c r="E32" i="4"/>
  <c r="E8" i="5" s="1"/>
  <c r="E9" i="5" s="1"/>
  <c r="E11" i="5" s="1"/>
  <c r="E13" i="5" s="1"/>
  <c r="D34" i="4"/>
  <c r="D23" i="6" s="1"/>
  <c r="K12" i="4"/>
  <c r="J19" i="4"/>
  <c r="D5" i="7"/>
  <c r="D7" i="7" s="1"/>
  <c r="D11" i="7"/>
  <c r="D12" i="7" s="1"/>
  <c r="C19" i="5"/>
  <c r="C22" i="5" s="1"/>
  <c r="C34" i="4"/>
  <c r="C23" i="6" s="1"/>
  <c r="C22" i="6"/>
  <c r="F6" i="5"/>
  <c r="F27" i="5" s="1"/>
  <c r="F30" i="5" s="1"/>
  <c r="F30" i="4"/>
  <c r="H5" i="4"/>
  <c r="H10" i="4" s="1"/>
  <c r="G21" i="4"/>
  <c r="G26" i="4" s="1"/>
  <c r="L4" i="2"/>
  <c r="E22" i="6" l="1"/>
  <c r="D22" i="6"/>
  <c r="L19" i="2"/>
  <c r="K21" i="2"/>
  <c r="I43" i="6"/>
  <c r="H33" i="6"/>
  <c r="H35" i="6" s="1"/>
  <c r="H37" i="6" s="1"/>
  <c r="E11" i="7"/>
  <c r="E12" i="7" s="1"/>
  <c r="D19" i="5"/>
  <c r="D22" i="5" s="1"/>
  <c r="D25" i="6"/>
  <c r="D39" i="6" s="1"/>
  <c r="F32" i="4"/>
  <c r="F8" i="5" s="1"/>
  <c r="F9" i="5" s="1"/>
  <c r="F11" i="5" s="1"/>
  <c r="F13" i="5" s="1"/>
  <c r="E19" i="5"/>
  <c r="E22" i="5" s="1"/>
  <c r="F5" i="7"/>
  <c r="F7" i="7" s="1"/>
  <c r="F11" i="7"/>
  <c r="F12" i="7" s="1"/>
  <c r="E34" i="4"/>
  <c r="E23" i="6" s="1"/>
  <c r="L12" i="4"/>
  <c r="K19" i="4"/>
  <c r="C25" i="6"/>
  <c r="C39" i="6" s="1"/>
  <c r="J8" i="6"/>
  <c r="J10" i="6" s="1"/>
  <c r="G30" i="4"/>
  <c r="G6" i="5"/>
  <c r="G27" i="5" s="1"/>
  <c r="G30" i="5" s="1"/>
  <c r="I5" i="4"/>
  <c r="I10" i="4" s="1"/>
  <c r="H21" i="4"/>
  <c r="H26" i="4" s="1"/>
  <c r="M4" i="2"/>
  <c r="F22" i="6" l="1"/>
  <c r="M19" i="2"/>
  <c r="L21" i="2"/>
  <c r="I52" i="6"/>
  <c r="I45" i="6"/>
  <c r="I51" i="6"/>
  <c r="G32" i="4"/>
  <c r="G8" i="5" s="1"/>
  <c r="G9" i="5" s="1"/>
  <c r="G11" i="5" s="1"/>
  <c r="G13" i="5" s="1"/>
  <c r="G11" i="7"/>
  <c r="G12" i="7" s="1"/>
  <c r="F19" i="5"/>
  <c r="F22" i="5" s="1"/>
  <c r="G5" i="7"/>
  <c r="G7" i="7" s="1"/>
  <c r="F34" i="4"/>
  <c r="F23" i="6" s="1"/>
  <c r="E25" i="6"/>
  <c r="M12" i="4"/>
  <c r="L19" i="4"/>
  <c r="K8" i="6"/>
  <c r="K10" i="6" s="1"/>
  <c r="H6" i="5"/>
  <c r="H27" i="5" s="1"/>
  <c r="H30" i="5" s="1"/>
  <c r="H30" i="4"/>
  <c r="J5" i="4"/>
  <c r="J10" i="4" s="1"/>
  <c r="I21" i="4"/>
  <c r="I26" i="4" s="1"/>
  <c r="N4" i="2"/>
  <c r="G22" i="6" l="1"/>
  <c r="N19" i="2"/>
  <c r="M21" i="2"/>
  <c r="J43" i="6"/>
  <c r="I33" i="6"/>
  <c r="I35" i="6" s="1"/>
  <c r="I37" i="6" s="1"/>
  <c r="G34" i="4"/>
  <c r="G23" i="6" s="1"/>
  <c r="G19" i="5"/>
  <c r="G22" i="5" s="1"/>
  <c r="H11" i="7"/>
  <c r="H12" i="7" s="1"/>
  <c r="H5" i="7"/>
  <c r="H7" i="7" s="1"/>
  <c r="H32" i="4"/>
  <c r="H8" i="5" s="1"/>
  <c r="H9" i="5" s="1"/>
  <c r="H11" i="5" s="1"/>
  <c r="H13" i="5" s="1"/>
  <c r="F25" i="6"/>
  <c r="N12" i="4"/>
  <c r="M19" i="4"/>
  <c r="L8" i="6"/>
  <c r="L10" i="6" s="1"/>
  <c r="K5" i="4"/>
  <c r="K10" i="4" s="1"/>
  <c r="J21" i="4"/>
  <c r="J26" i="4" s="1"/>
  <c r="I30" i="4"/>
  <c r="I6" i="5"/>
  <c r="I27" i="5" s="1"/>
  <c r="I30" i="5" s="1"/>
  <c r="O4" i="2"/>
  <c r="H22" i="6" l="1"/>
  <c r="O19" i="2"/>
  <c r="N21" i="2"/>
  <c r="J51" i="6"/>
  <c r="J52" i="6"/>
  <c r="G25" i="6"/>
  <c r="I5" i="7"/>
  <c r="I7" i="7" s="1"/>
  <c r="I11" i="7"/>
  <c r="I12" i="7" s="1"/>
  <c r="H19" i="5"/>
  <c r="H22" i="5" s="1"/>
  <c r="H34" i="4"/>
  <c r="H23" i="6" s="1"/>
  <c r="I32" i="4"/>
  <c r="I8" i="5" s="1"/>
  <c r="I9" i="5" s="1"/>
  <c r="I11" i="5" s="1"/>
  <c r="I13" i="5" s="1"/>
  <c r="J5" i="7" s="1"/>
  <c r="J7" i="7" s="1"/>
  <c r="O12" i="4"/>
  <c r="N19" i="4"/>
  <c r="M8" i="6"/>
  <c r="M10" i="6" s="1"/>
  <c r="J6" i="5"/>
  <c r="J27" i="5" s="1"/>
  <c r="J30" i="5" s="1"/>
  <c r="J30" i="4"/>
  <c r="L5" i="4"/>
  <c r="L10" i="4" s="1"/>
  <c r="K21" i="4"/>
  <c r="K26" i="4" s="1"/>
  <c r="P4" i="2"/>
  <c r="I22" i="6" l="1"/>
  <c r="P19" i="2"/>
  <c r="O21" i="2"/>
  <c r="J45" i="6"/>
  <c r="J11" i="7"/>
  <c r="J12" i="7" s="1"/>
  <c r="I34" i="4"/>
  <c r="I23" i="6" s="1"/>
  <c r="I19" i="5"/>
  <c r="I22" i="5" s="1"/>
  <c r="H25" i="6"/>
  <c r="J32" i="4"/>
  <c r="J8" i="5" s="1"/>
  <c r="J9" i="5" s="1"/>
  <c r="J11" i="5" s="1"/>
  <c r="J13" i="5" s="1"/>
  <c r="P12" i="4"/>
  <c r="O19" i="4"/>
  <c r="N8" i="6"/>
  <c r="N10" i="6" s="1"/>
  <c r="K30" i="4"/>
  <c r="K6" i="5"/>
  <c r="K27" i="5" s="1"/>
  <c r="K30" i="5" s="1"/>
  <c r="M5" i="4"/>
  <c r="M10" i="4" s="1"/>
  <c r="L21" i="4"/>
  <c r="L26" i="4" s="1"/>
  <c r="Q4" i="2"/>
  <c r="J22" i="6" l="1"/>
  <c r="Q19" i="2"/>
  <c r="P21" i="2"/>
  <c r="K43" i="6"/>
  <c r="J33" i="6"/>
  <c r="J35" i="6" s="1"/>
  <c r="J37" i="6" s="1"/>
  <c r="I25" i="6"/>
  <c r="J34" i="4"/>
  <c r="J23" i="6" s="1"/>
  <c r="K11" i="7"/>
  <c r="K12" i="7" s="1"/>
  <c r="J19" i="5"/>
  <c r="J22" i="5" s="1"/>
  <c r="K5" i="7"/>
  <c r="K7" i="7" s="1"/>
  <c r="K32" i="4"/>
  <c r="K8" i="5" s="1"/>
  <c r="K9" i="5" s="1"/>
  <c r="K11" i="5" s="1"/>
  <c r="K13" i="5" s="1"/>
  <c r="L11" i="7" s="1"/>
  <c r="L12" i="7" s="1"/>
  <c r="Q12" i="4"/>
  <c r="P19" i="4"/>
  <c r="O8" i="6"/>
  <c r="O10" i="6" s="1"/>
  <c r="L6" i="5"/>
  <c r="L27" i="5" s="1"/>
  <c r="L30" i="5" s="1"/>
  <c r="L30" i="4"/>
  <c r="N5" i="4"/>
  <c r="N10" i="4" s="1"/>
  <c r="M21" i="4"/>
  <c r="M26" i="4" s="1"/>
  <c r="R4" i="2"/>
  <c r="K22" i="6" l="1"/>
  <c r="R19" i="2"/>
  <c r="Q21" i="2"/>
  <c r="K52" i="6"/>
  <c r="K51" i="6"/>
  <c r="K45" i="6"/>
  <c r="J25" i="6"/>
  <c r="K19" i="5"/>
  <c r="K22" i="5" s="1"/>
  <c r="L32" i="4"/>
  <c r="L8" i="5" s="1"/>
  <c r="L9" i="5" s="1"/>
  <c r="L11" i="5" s="1"/>
  <c r="L13" i="5" s="1"/>
  <c r="L5" i="7"/>
  <c r="L7" i="7" s="1"/>
  <c r="K34" i="4"/>
  <c r="K23" i="6" s="1"/>
  <c r="R12" i="4"/>
  <c r="Q19" i="4"/>
  <c r="P8" i="6"/>
  <c r="P10" i="6" s="1"/>
  <c r="M30" i="4"/>
  <c r="M6" i="5"/>
  <c r="M27" i="5" s="1"/>
  <c r="M30" i="5" s="1"/>
  <c r="O5" i="4"/>
  <c r="O10" i="4" s="1"/>
  <c r="N21" i="4"/>
  <c r="N26" i="4" s="1"/>
  <c r="S4" i="2"/>
  <c r="L22" i="6" l="1"/>
  <c r="S19" i="2"/>
  <c r="R21" i="2"/>
  <c r="Q8" i="6" s="1"/>
  <c r="Q10" i="6" s="1"/>
  <c r="L43" i="6"/>
  <c r="K33" i="6"/>
  <c r="K35" i="6" s="1"/>
  <c r="K37" i="6" s="1"/>
  <c r="M11" i="7"/>
  <c r="M12" i="7" s="1"/>
  <c r="L19" i="5"/>
  <c r="L22" i="5" s="1"/>
  <c r="M5" i="7"/>
  <c r="M7" i="7" s="1"/>
  <c r="M32" i="4"/>
  <c r="M8" i="5" s="1"/>
  <c r="M9" i="5" s="1"/>
  <c r="M11" i="5" s="1"/>
  <c r="M13" i="5" s="1"/>
  <c r="K25" i="6"/>
  <c r="L34" i="4"/>
  <c r="L23" i="6" s="1"/>
  <c r="S12" i="4"/>
  <c r="R19" i="4"/>
  <c r="P5" i="4"/>
  <c r="P10" i="4" s="1"/>
  <c r="O21" i="4"/>
  <c r="O26" i="4" s="1"/>
  <c r="N30" i="4"/>
  <c r="N6" i="5"/>
  <c r="N27" i="5" s="1"/>
  <c r="N30" i="5" s="1"/>
  <c r="T4" i="2"/>
  <c r="M22" i="6" l="1"/>
  <c r="T19" i="2"/>
  <c r="S21" i="2"/>
  <c r="L52" i="6"/>
  <c r="L51" i="6"/>
  <c r="L45" i="6"/>
  <c r="L25" i="6"/>
  <c r="M19" i="5"/>
  <c r="M22" i="5" s="1"/>
  <c r="N5" i="7"/>
  <c r="N7" i="7" s="1"/>
  <c r="N11" i="7"/>
  <c r="N12" i="7" s="1"/>
  <c r="M34" i="4"/>
  <c r="M23" i="6" s="1"/>
  <c r="N32" i="4"/>
  <c r="N8" i="5" s="1"/>
  <c r="N9" i="5" s="1"/>
  <c r="N11" i="5" s="1"/>
  <c r="N13" i="5" s="1"/>
  <c r="T12" i="4"/>
  <c r="S19" i="4"/>
  <c r="R8" i="6"/>
  <c r="R10" i="6" s="1"/>
  <c r="O30" i="4"/>
  <c r="O6" i="5"/>
  <c r="O27" i="5" s="1"/>
  <c r="O30" i="5" s="1"/>
  <c r="Q5" i="4"/>
  <c r="Q10" i="4" s="1"/>
  <c r="P21" i="4"/>
  <c r="P26" i="4" s="1"/>
  <c r="U4" i="2"/>
  <c r="N22" i="6" l="1"/>
  <c r="U19" i="2"/>
  <c r="T21" i="2"/>
  <c r="M43" i="6"/>
  <c r="L33" i="6"/>
  <c r="L35" i="6" s="1"/>
  <c r="L37" i="6" s="1"/>
  <c r="N34" i="4"/>
  <c r="N23" i="6" s="1"/>
  <c r="O11" i="7"/>
  <c r="O12" i="7" s="1"/>
  <c r="O5" i="7"/>
  <c r="O7" i="7" s="1"/>
  <c r="N19" i="5"/>
  <c r="N22" i="5" s="1"/>
  <c r="M25" i="6"/>
  <c r="O32" i="4"/>
  <c r="O8" i="5" s="1"/>
  <c r="O9" i="5" s="1"/>
  <c r="O11" i="5" s="1"/>
  <c r="O13" i="5" s="1"/>
  <c r="U12" i="4"/>
  <c r="T19" i="4"/>
  <c r="S8" i="6"/>
  <c r="S10" i="6" s="1"/>
  <c r="P30" i="4"/>
  <c r="P32" i="4" s="1"/>
  <c r="P6" i="5"/>
  <c r="P27" i="5" s="1"/>
  <c r="P30" i="5" s="1"/>
  <c r="R5" i="4"/>
  <c r="R10" i="4" s="1"/>
  <c r="Q21" i="4"/>
  <c r="Q26" i="4" s="1"/>
  <c r="V4" i="2"/>
  <c r="W4" i="2"/>
  <c r="O22" i="6" l="1"/>
  <c r="V19" i="2"/>
  <c r="U21" i="2"/>
  <c r="M51" i="6"/>
  <c r="N25" i="6"/>
  <c r="O19" i="5"/>
  <c r="O22" i="5" s="1"/>
  <c r="P5" i="7"/>
  <c r="P7" i="7" s="1"/>
  <c r="O34" i="4"/>
  <c r="O23" i="6" s="1"/>
  <c r="P11" i="7"/>
  <c r="P12" i="7" s="1"/>
  <c r="V12" i="4"/>
  <c r="U19" i="4"/>
  <c r="P8" i="5"/>
  <c r="P9" i="5" s="1"/>
  <c r="P11" i="5" s="1"/>
  <c r="P13" i="5" s="1"/>
  <c r="T8" i="6"/>
  <c r="T10" i="6" s="1"/>
  <c r="S5" i="4"/>
  <c r="S10" i="4" s="1"/>
  <c r="R21" i="4"/>
  <c r="R26" i="4" s="1"/>
  <c r="Q30" i="4"/>
  <c r="Q32" i="4" s="1"/>
  <c r="Q6" i="5"/>
  <c r="Q27" i="5" s="1"/>
  <c r="Q30" i="5" s="1"/>
  <c r="P22" i="6" l="1"/>
  <c r="W19" i="2"/>
  <c r="V21" i="2"/>
  <c r="U8" i="6" s="1"/>
  <c r="U10" i="6" s="1"/>
  <c r="M52" i="6"/>
  <c r="M45" i="6"/>
  <c r="O25" i="6"/>
  <c r="W12" i="4"/>
  <c r="V19" i="4"/>
  <c r="Q5" i="7"/>
  <c r="Q7" i="7" s="1"/>
  <c r="P19" i="5"/>
  <c r="P22" i="5" s="1"/>
  <c r="Q11" i="7"/>
  <c r="Q12" i="7" s="1"/>
  <c r="Q8" i="5"/>
  <c r="Q9" i="5" s="1"/>
  <c r="Q11" i="5" s="1"/>
  <c r="Q13" i="5" s="1"/>
  <c r="P34" i="4"/>
  <c r="P23" i="6" s="1"/>
  <c r="Q22" i="6" s="1"/>
  <c r="R30" i="4"/>
  <c r="R32" i="4" s="1"/>
  <c r="R6" i="5"/>
  <c r="R27" i="5" s="1"/>
  <c r="R30" i="5" s="1"/>
  <c r="T5" i="4"/>
  <c r="T10" i="4" s="1"/>
  <c r="S21" i="4"/>
  <c r="S26" i="4" s="1"/>
  <c r="X19" i="2" l="1"/>
  <c r="W21" i="2"/>
  <c r="V8" i="6" s="1"/>
  <c r="V10" i="6" s="1"/>
  <c r="N43" i="6"/>
  <c r="M33" i="6"/>
  <c r="M35" i="6" s="1"/>
  <c r="M37" i="6" s="1"/>
  <c r="X12" i="4"/>
  <c r="W19" i="4"/>
  <c r="Q34" i="4"/>
  <c r="Q23" i="6" s="1"/>
  <c r="R22" i="6" s="1"/>
  <c r="R5" i="7"/>
  <c r="R7" i="7" s="1"/>
  <c r="R11" i="7"/>
  <c r="R12" i="7" s="1"/>
  <c r="Q19" i="5"/>
  <c r="Q22" i="5" s="1"/>
  <c r="R8" i="5"/>
  <c r="R9" i="5" s="1"/>
  <c r="R11" i="5" s="1"/>
  <c r="R13" i="5" s="1"/>
  <c r="S5" i="7" s="1"/>
  <c r="S7" i="7" s="1"/>
  <c r="P25" i="6"/>
  <c r="S30" i="4"/>
  <c r="S32" i="4" s="1"/>
  <c r="S6" i="5"/>
  <c r="S27" i="5" s="1"/>
  <c r="S30" i="5" s="1"/>
  <c r="U5" i="4"/>
  <c r="U10" i="4" s="1"/>
  <c r="T21" i="4"/>
  <c r="T26" i="4" s="1"/>
  <c r="Y19" i="2" l="1"/>
  <c r="X21" i="2"/>
  <c r="W8" i="6" s="1"/>
  <c r="W10" i="6" s="1"/>
  <c r="N51" i="6"/>
  <c r="N52" i="6"/>
  <c r="Y12" i="4"/>
  <c r="X19" i="4"/>
  <c r="Q25" i="6"/>
  <c r="R34" i="4"/>
  <c r="R23" i="6" s="1"/>
  <c r="S22" i="6" s="1"/>
  <c r="R19" i="5"/>
  <c r="R22" i="5" s="1"/>
  <c r="S11" i="7"/>
  <c r="S12" i="7" s="1"/>
  <c r="S8" i="5"/>
  <c r="S9" i="5" s="1"/>
  <c r="S11" i="5" s="1"/>
  <c r="S13" i="5" s="1"/>
  <c r="V5" i="4"/>
  <c r="V10" i="4" s="1"/>
  <c r="U21" i="4"/>
  <c r="U26" i="4" s="1"/>
  <c r="T6" i="5"/>
  <c r="T27" i="5" s="1"/>
  <c r="T30" i="5" s="1"/>
  <c r="T30" i="4"/>
  <c r="T32" i="4" s="1"/>
  <c r="Z19" i="2" l="1"/>
  <c r="Y21" i="2"/>
  <c r="X8" i="6" s="1"/>
  <c r="X10" i="6" s="1"/>
  <c r="N45" i="6"/>
  <c r="Z12" i="4"/>
  <c r="Z19" i="4" s="1"/>
  <c r="Y19" i="4"/>
  <c r="S34" i="4"/>
  <c r="S23" i="6" s="1"/>
  <c r="T22" i="6" s="1"/>
  <c r="R25" i="6"/>
  <c r="S19" i="5"/>
  <c r="S22" i="5" s="1"/>
  <c r="T5" i="7"/>
  <c r="T7" i="7" s="1"/>
  <c r="T11" i="7"/>
  <c r="T12" i="7" s="1"/>
  <c r="T8" i="5"/>
  <c r="T9" i="5" s="1"/>
  <c r="T11" i="5" s="1"/>
  <c r="T13" i="5" s="1"/>
  <c r="V21" i="4"/>
  <c r="W5" i="4"/>
  <c r="W10" i="4" s="1"/>
  <c r="U6" i="5"/>
  <c r="U27" i="5" s="1"/>
  <c r="U30" i="5" s="1"/>
  <c r="U30" i="4"/>
  <c r="U32" i="4" s="1"/>
  <c r="AA19" i="2" l="1"/>
  <c r="AA21" i="2" s="1"/>
  <c r="Z8" i="6" s="1"/>
  <c r="Z10" i="6" s="1"/>
  <c r="Z21" i="2"/>
  <c r="Y8" i="6" s="1"/>
  <c r="Y10" i="6" s="1"/>
  <c r="N33" i="6"/>
  <c r="N35" i="6" s="1"/>
  <c r="N37" i="6" s="1"/>
  <c r="O43" i="6"/>
  <c r="V26" i="4"/>
  <c r="V6" i="5" s="1"/>
  <c r="V27" i="5" s="1"/>
  <c r="V30" i="5" s="1"/>
  <c r="S25" i="6"/>
  <c r="U11" i="7"/>
  <c r="U12" i="7" s="1"/>
  <c r="T19" i="5"/>
  <c r="T22" i="5" s="1"/>
  <c r="U5" i="7"/>
  <c r="U7" i="7" s="1"/>
  <c r="T34" i="4"/>
  <c r="T23" i="6" s="1"/>
  <c r="U22" i="6" s="1"/>
  <c r="U8" i="5"/>
  <c r="U9" i="5" s="1"/>
  <c r="U11" i="5" s="1"/>
  <c r="U13" i="5" s="1"/>
  <c r="X5" i="4"/>
  <c r="X10" i="4" s="1"/>
  <c r="W21" i="4"/>
  <c r="W26" i="4" s="1"/>
  <c r="O52" i="6" l="1"/>
  <c r="O51" i="6"/>
  <c r="V30" i="4"/>
  <c r="V32" i="4" s="1"/>
  <c r="V8" i="5" s="1"/>
  <c r="V9" i="5" s="1"/>
  <c r="V11" i="5" s="1"/>
  <c r="V13" i="5" s="1"/>
  <c r="V19" i="5" s="1"/>
  <c r="V22" i="5" s="1"/>
  <c r="T25" i="6"/>
  <c r="V5" i="7"/>
  <c r="V7" i="7" s="1"/>
  <c r="U19" i="5"/>
  <c r="U22" i="5" s="1"/>
  <c r="V11" i="7"/>
  <c r="V12" i="7" s="1"/>
  <c r="U34" i="4"/>
  <c r="U23" i="6" s="1"/>
  <c r="V22" i="6" s="1"/>
  <c r="W6" i="5"/>
  <c r="W27" i="5" s="1"/>
  <c r="W30" i="5" s="1"/>
  <c r="W30" i="4"/>
  <c r="W32" i="4" s="1"/>
  <c r="X21" i="4"/>
  <c r="X26" i="4" s="1"/>
  <c r="Y5" i="4"/>
  <c r="Y10" i="4" s="1"/>
  <c r="O45" i="6" l="1"/>
  <c r="W8" i="5"/>
  <c r="W9" i="5" s="1"/>
  <c r="W11" i="5" s="1"/>
  <c r="W13" i="5" s="1"/>
  <c r="U25" i="6"/>
  <c r="V34" i="4"/>
  <c r="V23" i="6" s="1"/>
  <c r="W22" i="6" s="1"/>
  <c r="W11" i="7"/>
  <c r="W12" i="7" s="1"/>
  <c r="W5" i="7"/>
  <c r="W7" i="7" s="1"/>
  <c r="X6" i="5"/>
  <c r="X27" i="5" s="1"/>
  <c r="X30" i="5" s="1"/>
  <c r="X30" i="4"/>
  <c r="X32" i="4" s="1"/>
  <c r="Z5" i="4"/>
  <c r="Y21" i="4"/>
  <c r="Y26" i="4" s="1"/>
  <c r="O33" i="6" l="1"/>
  <c r="O35" i="6" s="1"/>
  <c r="O37" i="6" s="1"/>
  <c r="P43" i="6"/>
  <c r="Z10" i="4"/>
  <c r="Z21" i="4" s="1"/>
  <c r="Z26" i="4" s="1"/>
  <c r="X5" i="7"/>
  <c r="X7" i="7" s="1"/>
  <c r="W19" i="5"/>
  <c r="W22" i="5" s="1"/>
  <c r="X11" i="7"/>
  <c r="X12" i="7" s="1"/>
  <c r="X8" i="5"/>
  <c r="X9" i="5" s="1"/>
  <c r="X11" i="5" s="1"/>
  <c r="X13" i="5" s="1"/>
  <c r="W34" i="4"/>
  <c r="W23" i="6" s="1"/>
  <c r="X22" i="6" s="1"/>
  <c r="V25" i="6"/>
  <c r="Y6" i="5"/>
  <c r="Y27" i="5" s="1"/>
  <c r="Y30" i="5" s="1"/>
  <c r="Y30" i="4"/>
  <c r="Y32" i="4" s="1"/>
  <c r="P52" i="6" l="1"/>
  <c r="P51" i="6"/>
  <c r="P45" i="6"/>
  <c r="Z30" i="4"/>
  <c r="Z6" i="5"/>
  <c r="Z27" i="5" s="1"/>
  <c r="Z30" i="5" s="1"/>
  <c r="X34" i="4"/>
  <c r="X23" i="6" s="1"/>
  <c r="Y22" i="6" s="1"/>
  <c r="X19" i="5"/>
  <c r="X22" i="5" s="1"/>
  <c r="Y5" i="7"/>
  <c r="Y7" i="7" s="1"/>
  <c r="Y8" i="5"/>
  <c r="Y9" i="5" s="1"/>
  <c r="Y11" i="5" s="1"/>
  <c r="Y13" i="5" s="1"/>
  <c r="Y11" i="7"/>
  <c r="Y12" i="7" s="1"/>
  <c r="W25" i="6"/>
  <c r="P33" i="6" l="1"/>
  <c r="P35" i="6" s="1"/>
  <c r="P37" i="6" s="1"/>
  <c r="Q43" i="6"/>
  <c r="Z32" i="4"/>
  <c r="Z8" i="5" s="1"/>
  <c r="Z9" i="5" s="1"/>
  <c r="Z11" i="5" s="1"/>
  <c r="Z13" i="5" s="1"/>
  <c r="X25" i="6"/>
  <c r="Y19" i="5"/>
  <c r="Y22" i="5" s="1"/>
  <c r="Z5" i="7"/>
  <c r="Z7" i="7" s="1"/>
  <c r="Z11" i="7"/>
  <c r="Z12" i="7" s="1"/>
  <c r="Y34" i="4"/>
  <c r="Y23" i="6" s="1"/>
  <c r="Z22" i="6" s="1"/>
  <c r="Q51" i="6" l="1"/>
  <c r="Q52" i="6"/>
  <c r="Q45" i="6"/>
  <c r="AA5" i="7"/>
  <c r="AA7" i="7" s="1"/>
  <c r="Z19" i="5"/>
  <c r="Z22" i="5" s="1"/>
  <c r="Z34" i="4"/>
  <c r="Z23" i="6" s="1"/>
  <c r="AA11" i="7"/>
  <c r="AA12" i="7" s="1"/>
  <c r="Y25" i="6"/>
  <c r="Q33" i="6" l="1"/>
  <c r="Q35" i="6" s="1"/>
  <c r="Q37" i="6" s="1"/>
  <c r="R43" i="6"/>
  <c r="Z25" i="6"/>
  <c r="R52" i="6" l="1"/>
  <c r="R51" i="6"/>
  <c r="R45" i="6"/>
  <c r="B13" i="5"/>
  <c r="B19" i="5" s="1"/>
  <c r="R33" i="6" l="1"/>
  <c r="R35" i="6" s="1"/>
  <c r="R37" i="6" s="1"/>
  <c r="S43" i="6"/>
  <c r="C11" i="7"/>
  <c r="C12" i="7" s="1"/>
  <c r="C5" i="7"/>
  <c r="C7" i="7" s="1"/>
  <c r="B8" i="7" s="1"/>
  <c r="B23" i="5"/>
  <c r="B22" i="5"/>
  <c r="C21" i="5"/>
  <c r="S52" i="6" l="1"/>
  <c r="S51" i="6"/>
  <c r="S45" i="6"/>
  <c r="B12" i="6"/>
  <c r="B15" i="6" s="1"/>
  <c r="B16" i="6" s="1"/>
  <c r="B41" i="6" s="1"/>
  <c r="D21" i="5"/>
  <c r="C23" i="5"/>
  <c r="T43" i="6" l="1"/>
  <c r="S33" i="6"/>
  <c r="S35" i="6" s="1"/>
  <c r="S37" i="6" s="1"/>
  <c r="C12" i="6"/>
  <c r="C15" i="6" s="1"/>
  <c r="C16" i="6" s="1"/>
  <c r="C41" i="6" s="1"/>
  <c r="E21" i="5"/>
  <c r="D23" i="5"/>
  <c r="D12" i="6" s="1"/>
  <c r="T52" i="6" l="1"/>
  <c r="T45" i="6"/>
  <c r="T51" i="6"/>
  <c r="F21" i="5"/>
  <c r="E23" i="5"/>
  <c r="U43" i="6" l="1"/>
  <c r="T33" i="6"/>
  <c r="T35" i="6" s="1"/>
  <c r="T37" i="6" s="1"/>
  <c r="E12" i="6"/>
  <c r="E15" i="6" s="1"/>
  <c r="E16" i="6" s="1"/>
  <c r="E41" i="6" s="1"/>
  <c r="F23" i="5"/>
  <c r="G21" i="5"/>
  <c r="U52" i="6" l="1"/>
  <c r="U51" i="6"/>
  <c r="U45" i="6"/>
  <c r="F12" i="6"/>
  <c r="F15" i="6" s="1"/>
  <c r="F16" i="6" s="1"/>
  <c r="F41" i="6" s="1"/>
  <c r="H21" i="5"/>
  <c r="G23" i="5"/>
  <c r="V43" i="6" l="1"/>
  <c r="U33" i="6"/>
  <c r="U35" i="6" s="1"/>
  <c r="U37" i="6" s="1"/>
  <c r="G12" i="6"/>
  <c r="G15" i="6" s="1"/>
  <c r="G16" i="6" s="1"/>
  <c r="G41" i="6" s="1"/>
  <c r="I21" i="5"/>
  <c r="H23" i="5"/>
  <c r="H12" i="6" l="1"/>
  <c r="H15" i="6" s="1"/>
  <c r="H16" i="6" s="1"/>
  <c r="H41" i="6" s="1"/>
  <c r="V52" i="6"/>
  <c r="V51" i="6"/>
  <c r="V45" i="6"/>
  <c r="J21" i="5"/>
  <c r="I23" i="5"/>
  <c r="I12" i="6" l="1"/>
  <c r="I15" i="6" s="1"/>
  <c r="I16" i="6" s="1"/>
  <c r="I41" i="6" s="1"/>
  <c r="W43" i="6"/>
  <c r="V33" i="6"/>
  <c r="V35" i="6" s="1"/>
  <c r="V37" i="6" s="1"/>
  <c r="J23" i="5"/>
  <c r="K21" i="5"/>
  <c r="J12" i="6" l="1"/>
  <c r="J15" i="6" s="1"/>
  <c r="J16" i="6" s="1"/>
  <c r="J41" i="6" s="1"/>
  <c r="W51" i="6"/>
  <c r="L21" i="5"/>
  <c r="K23" i="5"/>
  <c r="K12" i="6" l="1"/>
  <c r="K15" i="6" s="1"/>
  <c r="K16" i="6" s="1"/>
  <c r="K41" i="6" s="1"/>
  <c r="W52" i="6"/>
  <c r="W45" i="6"/>
  <c r="M21" i="5"/>
  <c r="L23" i="5"/>
  <c r="L12" i="6" l="1"/>
  <c r="L15" i="6" s="1"/>
  <c r="L16" i="6" s="1"/>
  <c r="L41" i="6" s="1"/>
  <c r="X43" i="6"/>
  <c r="W33" i="6"/>
  <c r="W35" i="6" s="1"/>
  <c r="W37" i="6" s="1"/>
  <c r="M23" i="5"/>
  <c r="N21" i="5"/>
  <c r="M12" i="6" l="1"/>
  <c r="M15" i="6" s="1"/>
  <c r="M16" i="6" s="1"/>
  <c r="M41" i="6" s="1"/>
  <c r="X51" i="6"/>
  <c r="X52" i="6"/>
  <c r="X45" i="6"/>
  <c r="N23" i="5"/>
  <c r="O21" i="5"/>
  <c r="N12" i="6" l="1"/>
  <c r="N15" i="6" s="1"/>
  <c r="N16" i="6" s="1"/>
  <c r="N41" i="6" s="1"/>
  <c r="Y43" i="6"/>
  <c r="X33" i="6"/>
  <c r="X35" i="6" s="1"/>
  <c r="X37" i="6" s="1"/>
  <c r="P21" i="5"/>
  <c r="O23" i="5"/>
  <c r="O12" i="6" l="1"/>
  <c r="O15" i="6" s="1"/>
  <c r="O16" i="6" s="1"/>
  <c r="O41" i="6" s="1"/>
  <c r="Y52" i="6"/>
  <c r="Y45" i="6"/>
  <c r="Y51" i="6"/>
  <c r="Q21" i="5"/>
  <c r="P23" i="5"/>
  <c r="P12" i="6" l="1"/>
  <c r="P15" i="6" s="1"/>
  <c r="P16" i="6" s="1"/>
  <c r="P41" i="6" s="1"/>
  <c r="Z43" i="6"/>
  <c r="Y33" i="6"/>
  <c r="Y35" i="6" s="1"/>
  <c r="Y37" i="6" s="1"/>
  <c r="R21" i="5"/>
  <c r="Q23" i="5"/>
  <c r="Q12" i="6" l="1"/>
  <c r="Q15" i="6" s="1"/>
  <c r="Q16" i="6" s="1"/>
  <c r="Q41" i="6" s="1"/>
  <c r="Z51" i="6"/>
  <c r="R23" i="5"/>
  <c r="S21" i="5"/>
  <c r="R12" i="6" l="1"/>
  <c r="R15" i="6" s="1"/>
  <c r="R16" i="6" s="1"/>
  <c r="R41" i="6" s="1"/>
  <c r="Z52" i="6"/>
  <c r="Z45" i="6"/>
  <c r="Z33" i="6" s="1"/>
  <c r="Z35" i="6" s="1"/>
  <c r="Z37" i="6" s="1"/>
  <c r="T21" i="5"/>
  <c r="S23" i="5"/>
  <c r="S12" i="6" l="1"/>
  <c r="S15" i="6" s="1"/>
  <c r="S16" i="6" s="1"/>
  <c r="S41" i="6" s="1"/>
  <c r="U21" i="5"/>
  <c r="T23" i="5"/>
  <c r="T12" i="6" l="1"/>
  <c r="T15" i="6" s="1"/>
  <c r="T16" i="6" s="1"/>
  <c r="T41" i="6" s="1"/>
  <c r="V21" i="5"/>
  <c r="U23" i="5"/>
  <c r="U12" i="6" l="1"/>
  <c r="U15" i="6" s="1"/>
  <c r="U16" i="6" s="1"/>
  <c r="U41" i="6" s="1"/>
  <c r="V23" i="5"/>
  <c r="W21" i="5"/>
  <c r="V12" i="6" l="1"/>
  <c r="V15" i="6" s="1"/>
  <c r="V16" i="6" s="1"/>
  <c r="V41" i="6" s="1"/>
  <c r="X21" i="5"/>
  <c r="W23" i="5"/>
  <c r="W12" i="6" l="1"/>
  <c r="W15" i="6" s="1"/>
  <c r="W16" i="6" s="1"/>
  <c r="W41" i="6" s="1"/>
  <c r="Y21" i="5"/>
  <c r="X23" i="5"/>
  <c r="X12" i="6" l="1"/>
  <c r="X15" i="6" s="1"/>
  <c r="X16" i="6" s="1"/>
  <c r="X41" i="6" s="1"/>
  <c r="Y23" i="5"/>
  <c r="Z21" i="5"/>
  <c r="Z23" i="5" s="1"/>
  <c r="Z12" i="6" l="1"/>
  <c r="Z15" i="6" s="1"/>
  <c r="Z16" i="6" s="1"/>
  <c r="Z41" i="6" s="1"/>
  <c r="Y12" i="6"/>
  <c r="Y15" i="6" s="1"/>
  <c r="Y16" i="6" s="1"/>
  <c r="Y41" i="6" s="1"/>
  <c r="D15" i="6" l="1"/>
  <c r="D16" i="6" s="1"/>
  <c r="D41" i="6" s="1"/>
</calcChain>
</file>

<file path=xl/sharedStrings.xml><?xml version="1.0" encoding="utf-8"?>
<sst xmlns="http://schemas.openxmlformats.org/spreadsheetml/2006/main" count="167" uniqueCount="151">
  <si>
    <t>COSTO LORDO IMM MAT</t>
  </si>
  <si>
    <t>v.u.</t>
  </si>
  <si>
    <t>QUOTA AMMORTAMENTO IMM MAT</t>
  </si>
  <si>
    <t>FONDO AMM IMM MAT</t>
  </si>
  <si>
    <t>IMMOBILIZZAZIONI MAT NETTE</t>
  </si>
  <si>
    <t>Valore della produzione</t>
  </si>
  <si>
    <t>Canone concessorio offerto</t>
  </si>
  <si>
    <t>Tot costi esterni</t>
  </si>
  <si>
    <t>EBITDA</t>
  </si>
  <si>
    <t>EBIT</t>
  </si>
  <si>
    <t>RISULTATO ANTE IMPOSTE</t>
  </si>
  <si>
    <t>Imposte su reddito</t>
  </si>
  <si>
    <t>RISULTATO NETTO</t>
  </si>
  <si>
    <t>Anni di concessione</t>
  </si>
  <si>
    <t>- Imposte dirette</t>
  </si>
  <si>
    <t>= NOPAT (Net operating profit after taxes)</t>
  </si>
  <si>
    <t>+ Ammort., svalutazioni, accantonamenti</t>
  </si>
  <si>
    <t>= Autofinanziamento netto</t>
  </si>
  <si>
    <t>Free Cash Flow Operativo (FCFO)</t>
  </si>
  <si>
    <t>- Rimborso finanziamenti</t>
  </si>
  <si>
    <t>+ Accensione finanziamenti</t>
  </si>
  <si>
    <t>- Pagamento dividenti</t>
  </si>
  <si>
    <t>+ Aumenti capitale</t>
  </si>
  <si>
    <t>Free Cash Flow to Equity (FCFE)</t>
  </si>
  <si>
    <t>Cassa iniziale</t>
  </si>
  <si>
    <t>Net Cash Flow</t>
  </si>
  <si>
    <t>Cassa finale</t>
  </si>
  <si>
    <t>ATTIVO</t>
  </si>
  <si>
    <t>Immobilizzazioni Materiali nette</t>
  </si>
  <si>
    <t>Attivo Fisso Netto</t>
  </si>
  <si>
    <t>Altri crediti</t>
  </si>
  <si>
    <t>Attivo circolante</t>
  </si>
  <si>
    <t>TOT ATTIVO</t>
  </si>
  <si>
    <t>PASSIVO E NETTO</t>
  </si>
  <si>
    <t>Capitale sociale</t>
  </si>
  <si>
    <t>Utili/perdite esercizio precedente</t>
  </si>
  <si>
    <t>Risultato di esercizio</t>
  </si>
  <si>
    <t>Tot Patrimonio Netto</t>
  </si>
  <si>
    <t>Ratei e risconti passivi</t>
  </si>
  <si>
    <t>Totale debiti a breve</t>
  </si>
  <si>
    <t>Totale debiti a medio-lungo tempo</t>
  </si>
  <si>
    <t>TOT PASSIVO</t>
  </si>
  <si>
    <t>TOTALE PASSIVO+NETTO</t>
  </si>
  <si>
    <t>FCFO</t>
  </si>
  <si>
    <t>fattore di attualizzazione</t>
  </si>
  <si>
    <t>VAN</t>
  </si>
  <si>
    <t>ADS (Annual Debt Service)</t>
  </si>
  <si>
    <t>QUADRO ECONOMICO</t>
  </si>
  <si>
    <t>LAVORI (A)</t>
  </si>
  <si>
    <t>Totale</t>
  </si>
  <si>
    <t>SOMME A DISPOSIZIONE (B)</t>
  </si>
  <si>
    <t>- Progettazione esecutiva, CSP</t>
  </si>
  <si>
    <t>- Direzione lavori, CSE</t>
  </si>
  <si>
    <t>I.V.A., eventuali altre imposte e contributi dovuti per legge:</t>
  </si>
  <si>
    <t>Spese tecniche:</t>
  </si>
  <si>
    <t>- per prestazioni professionali 22%</t>
  </si>
  <si>
    <t>TOTALE B</t>
  </si>
  <si>
    <t>TOTALE GENERALE (A+B)</t>
  </si>
  <si>
    <t>DETTAGLIO SPESE</t>
  </si>
  <si>
    <t>*costo lavori e acquisto attrezzature</t>
  </si>
  <si>
    <t xml:space="preserve">Oneri finanziari </t>
  </si>
  <si>
    <t>INVESTIMENTI E AMMORTAMENTI (25 ANNI)</t>
  </si>
  <si>
    <t>CONTO ECONOMICO PROSPETTICO (25 ANNI)</t>
  </si>
  <si>
    <t>STATO PATRIMONIALE PROSPETTICO (25 ANNI)</t>
  </si>
  <si>
    <t>Costo totale utenze</t>
  </si>
  <si>
    <t>Costo totale personale</t>
  </si>
  <si>
    <t>Materie prime</t>
  </si>
  <si>
    <t>Altri costi</t>
  </si>
  <si>
    <t>CALCOLO VALORE ATTUALE NETTO E DSCR (25 ANNI)</t>
  </si>
  <si>
    <t>FCFO/ADS (DSCR)</t>
  </si>
  <si>
    <t>Disponibilità liquide</t>
  </si>
  <si>
    <t>Oneri diversi</t>
  </si>
  <si>
    <t>- Oneri finanziari</t>
  </si>
  <si>
    <t>- Investimenti + Disinvestimenti</t>
  </si>
  <si>
    <t>VAN di progetto</t>
  </si>
  <si>
    <t>capitale finanziato</t>
  </si>
  <si>
    <t>rata ammortamento capitale</t>
  </si>
  <si>
    <t>valore residio capitale finanziato</t>
  </si>
  <si>
    <t>interessi su mutuo</t>
  </si>
  <si>
    <t>rata ammortamento interessi</t>
  </si>
  <si>
    <t>valore residuo interessi</t>
  </si>
  <si>
    <t>tot finanziato</t>
  </si>
  <si>
    <t>tot rata</t>
  </si>
  <si>
    <t>Debiti a breve verso banche (amm. Capitale)</t>
  </si>
  <si>
    <t>Altri debiti</t>
  </si>
  <si>
    <t>check</t>
  </si>
  <si>
    <t>Rimborso finanziamenti</t>
  </si>
  <si>
    <t>Oneri finanziari</t>
  </si>
  <si>
    <t>Ammortamenti e svalutazioni</t>
  </si>
  <si>
    <t>LAVORI CAMPO GOLF</t>
  </si>
  <si>
    <t>LAVORI RISTORANTE</t>
  </si>
  <si>
    <t>LAVORI CLUB HOUSE</t>
  </si>
  <si>
    <t>LAVORI PISCINA</t>
  </si>
  <si>
    <t xml:space="preserve">LAVORI BAR E SERVIZI PISCINA </t>
  </si>
  <si>
    <t>Lavori</t>
  </si>
  <si>
    <t>Importo</t>
  </si>
  <si>
    <t>Cap. A01: Opere Edili</t>
  </si>
  <si>
    <t>Cap. A02: Demolizioni</t>
  </si>
  <si>
    <t>Cap. A03: Opere speciali di giardinaggio</t>
  </si>
  <si>
    <t>Cap. A04: Impianto irrigazione</t>
  </si>
  <si>
    <t>(A) RISTRUTTURAZIONE CAMPO GOLF</t>
  </si>
  <si>
    <t>TOTALE (A)</t>
  </si>
  <si>
    <t>TOTALE (B)</t>
  </si>
  <si>
    <t>(B) RISTRUTTURAZIONE RISTORANTE</t>
  </si>
  <si>
    <t>Cap. A01: Demolizioni</t>
  </si>
  <si>
    <t>Cap. A04: Finiture esterne</t>
  </si>
  <si>
    <t>Cap. A05: Finiture interne</t>
  </si>
  <si>
    <t>Cap. A06: Serramenti</t>
  </si>
  <si>
    <t>Cap. A07: Pavimentazioni esterne</t>
  </si>
  <si>
    <t>Cap. A08: Impianto elettrico</t>
  </si>
  <si>
    <t>Cap. A11: Cucina</t>
  </si>
  <si>
    <t>TOTALE (D)</t>
  </si>
  <si>
    <t>Cap. A01: Opere prefabbricate in legno</t>
  </si>
  <si>
    <t>TOTALE A+B+C+D+E</t>
  </si>
  <si>
    <t>- per lavori 22%</t>
  </si>
  <si>
    <t>Cap. A02: Consolidamento</t>
  </si>
  <si>
    <t>Cap. A03: Coperture e lattonerie</t>
  </si>
  <si>
    <t>Cap. A09: Impianto riscaldamento e condizionamento</t>
  </si>
  <si>
    <t>(C) RISTRUTTURAZIONE CLUB HOUSE</t>
  </si>
  <si>
    <t>TOTALE (C)</t>
  </si>
  <si>
    <t>(D) RISTRUTTURAZIONE PISCINA</t>
  </si>
  <si>
    <t>(E) RISTRUTTURAZIONE BAR E SERVIZI PISCINA</t>
  </si>
  <si>
    <t>TOTALE (E)</t>
  </si>
  <si>
    <t>Cap. A01: Risanamento conservativo piscina esistente</t>
  </si>
  <si>
    <t xml:space="preserve">Cap. A02: Pavimentazione esterne </t>
  </si>
  <si>
    <t>Cap. A03: Impianti</t>
  </si>
  <si>
    <t>Cap. A10: Impianto idrosanitario</t>
  </si>
  <si>
    <t>Cap. A02 Copertura e lattonerie</t>
  </si>
  <si>
    <t>Cap. A03: Finiture esterne</t>
  </si>
  <si>
    <t>Cap. A04: Finiture interne</t>
  </si>
  <si>
    <t>Cap. A05: Serramenti</t>
  </si>
  <si>
    <t>Cap. A06: Impianto elettrico</t>
  </si>
  <si>
    <t>Cap. A07: Impianto di riscaldamento e condizionamento</t>
  </si>
  <si>
    <t>Cap. A08: Impianto idricosanitario e scarico</t>
  </si>
  <si>
    <t>Cap. A02: Impianto elettrico</t>
  </si>
  <si>
    <t>Cap. A03: Impianto idrosanitario e scarico</t>
  </si>
  <si>
    <t>Totale A</t>
  </si>
  <si>
    <t>5</t>
  </si>
  <si>
    <t xml:space="preserve">- Arredi </t>
  </si>
  <si>
    <t>- Lavori campo golf</t>
  </si>
  <si>
    <t>- Lavori ristorante</t>
  </si>
  <si>
    <t>- Lavori club house</t>
  </si>
  <si>
    <t>- Lavori piscina</t>
  </si>
  <si>
    <t>- Lavori bar e servizi piscina</t>
  </si>
  <si>
    <t>Eventi</t>
  </si>
  <si>
    <t>Piscina</t>
  </si>
  <si>
    <t>Bar piscina</t>
  </si>
  <si>
    <t>Ristorante</t>
  </si>
  <si>
    <t>Campo pratica golf</t>
  </si>
  <si>
    <t>Manutenzioni</t>
  </si>
  <si>
    <t>CASH FLOW (ANNI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</si>
</sst>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_ ;\-#,##0\ "/>
    <numFmt numFmtId="167" formatCode="#,##0.00_ ;\-#,##0.00\ "/>
    <numFmt numFmtId="168" formatCode="_-* #,##0.00000_-;\-* #,##0.00000_-;_-* &quot;-&quot;??_-;_-@_-"/>
    <numFmt numFmtId="169" formatCode="_-* #,##0.000000_-;\-* #,##0.000000_-;_-* &quot;-&quot;??_-;_-@_-"/>
    <numFmt numFmtId="170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49" fontId="0" fillId="0" borderId="0" xfId="0" applyNumberFormat="1"/>
    <xf numFmtId="0" fontId="2" fillId="0" borderId="0" xfId="0" applyFont="1"/>
    <xf numFmtId="43" fontId="2" fillId="0" borderId="12" xfId="1" applyFont="1" applyBorder="1" applyAlignment="1">
      <alignment vertical="center"/>
    </xf>
    <xf numFmtId="49" fontId="0" fillId="0" borderId="0" xfId="0" applyNumberFormat="1" applyAlignment="1">
      <alignment horizontal="left" vertical="center"/>
    </xf>
    <xf numFmtId="43" fontId="0" fillId="0" borderId="1" xfId="1" applyFont="1" applyBorder="1" applyAlignment="1">
      <alignment horizontal="right" vertical="center"/>
    </xf>
    <xf numFmtId="0" fontId="2" fillId="0" borderId="26" xfId="0" applyFont="1" applyBorder="1"/>
    <xf numFmtId="0" fontId="2" fillId="0" borderId="27" xfId="0" applyFont="1" applyBorder="1"/>
    <xf numFmtId="49" fontId="0" fillId="0" borderId="27" xfId="0" applyNumberFormat="1" applyBorder="1" applyAlignment="1">
      <alignment horizontal="left" vertical="center"/>
    </xf>
    <xf numFmtId="49" fontId="0" fillId="0" borderId="28" xfId="0" applyNumberFormat="1" applyBorder="1" applyAlignment="1">
      <alignment horizontal="left" vertical="center"/>
    </xf>
    <xf numFmtId="0" fontId="2" fillId="0" borderId="2" xfId="0" applyFont="1" applyBorder="1"/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43" fontId="2" fillId="0" borderId="8" xfId="1" applyFont="1" applyBorder="1" applyAlignment="1">
      <alignment horizontal="right" vertical="center"/>
    </xf>
    <xf numFmtId="43" fontId="2" fillId="0" borderId="32" xfId="1" applyFont="1" applyBorder="1" applyAlignment="1">
      <alignment horizontal="right" vertical="center"/>
    </xf>
    <xf numFmtId="43" fontId="0" fillId="0" borderId="33" xfId="1" applyFont="1" applyBorder="1" applyAlignment="1">
      <alignment horizontal="right" vertical="center"/>
    </xf>
    <xf numFmtId="43" fontId="0" fillId="0" borderId="35" xfId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43" fontId="2" fillId="0" borderId="5" xfId="1" applyFont="1" applyBorder="1" applyAlignment="1">
      <alignment horizontal="right" vertical="center"/>
    </xf>
    <xf numFmtId="43" fontId="2" fillId="0" borderId="31" xfId="1" applyFont="1" applyBorder="1" applyAlignment="1">
      <alignment horizontal="right" vertical="center"/>
    </xf>
    <xf numFmtId="43" fontId="2" fillId="0" borderId="6" xfId="1" applyFont="1" applyBorder="1" applyAlignment="1">
      <alignment horizontal="right" vertical="center"/>
    </xf>
    <xf numFmtId="43" fontId="0" fillId="0" borderId="37" xfId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43" fontId="0" fillId="0" borderId="0" xfId="1" applyFont="1" applyAlignment="1">
      <alignment horizontal="righ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164" fontId="0" fillId="0" borderId="0" xfId="0" applyNumberFormat="1"/>
    <xf numFmtId="164" fontId="0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0" fontId="0" fillId="0" borderId="27" xfId="0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64" fontId="0" fillId="0" borderId="34" xfId="1" applyNumberFormat="1" applyFont="1" applyBorder="1" applyAlignment="1">
      <alignment horizontal="right" vertical="center"/>
    </xf>
    <xf numFmtId="164" fontId="2" fillId="0" borderId="34" xfId="1" applyNumberFormat="1" applyFont="1" applyBorder="1" applyAlignment="1">
      <alignment horizontal="right" vertical="center"/>
    </xf>
    <xf numFmtId="164" fontId="2" fillId="0" borderId="35" xfId="1" applyNumberFormat="1" applyFont="1" applyBorder="1" applyAlignment="1">
      <alignment horizontal="right" vertical="center"/>
    </xf>
    <xf numFmtId="164" fontId="2" fillId="0" borderId="11" xfId="1" applyNumberFormat="1" applyFont="1" applyBorder="1" applyAlignment="1">
      <alignment horizontal="right" vertical="center"/>
    </xf>
    <xf numFmtId="0" fontId="0" fillId="3" borderId="29" xfId="0" applyFill="1" applyBorder="1" applyAlignment="1">
      <alignment horizontal="left" vertical="center"/>
    </xf>
    <xf numFmtId="0" fontId="0" fillId="3" borderId="4" xfId="0" applyFill="1" applyBorder="1"/>
    <xf numFmtId="0" fontId="0" fillId="3" borderId="39" xfId="0" applyFill="1" applyBorder="1"/>
    <xf numFmtId="49" fontId="0" fillId="3" borderId="40" xfId="0" applyNumberFormat="1" applyFill="1" applyBorder="1"/>
    <xf numFmtId="49" fontId="2" fillId="0" borderId="27" xfId="0" applyNumberFormat="1" applyFont="1" applyBorder="1"/>
    <xf numFmtId="49" fontId="0" fillId="3" borderId="27" xfId="0" applyNumberFormat="1" applyFill="1" applyBorder="1"/>
    <xf numFmtId="49" fontId="0" fillId="0" borderId="27" xfId="0" applyNumberFormat="1" applyBorder="1"/>
    <xf numFmtId="49" fontId="2" fillId="0" borderId="28" xfId="0" applyNumberFormat="1" applyFont="1" applyBorder="1"/>
    <xf numFmtId="164" fontId="2" fillId="0" borderId="8" xfId="1" applyNumberFormat="1" applyFont="1" applyBorder="1" applyAlignment="1">
      <alignment horizontal="right" vertical="center"/>
    </xf>
    <xf numFmtId="164" fontId="2" fillId="0" borderId="32" xfId="1" applyNumberFormat="1" applyFont="1" applyBorder="1" applyAlignment="1">
      <alignment horizontal="right" vertical="center"/>
    </xf>
    <xf numFmtId="164" fontId="2" fillId="0" borderId="9" xfId="1" applyNumberFormat="1" applyFont="1" applyBorder="1" applyAlignment="1">
      <alignment horizontal="right" vertical="center"/>
    </xf>
    <xf numFmtId="164" fontId="0" fillId="0" borderId="33" xfId="1" applyNumberFormat="1" applyFont="1" applyBorder="1" applyAlignment="1">
      <alignment horizontal="right" vertical="center"/>
    </xf>
    <xf numFmtId="164" fontId="2" fillId="0" borderId="33" xfId="1" applyNumberFormat="1" applyFont="1" applyBorder="1" applyAlignment="1">
      <alignment horizontal="right" vertical="center"/>
    </xf>
    <xf numFmtId="164" fontId="2" fillId="0" borderId="10" xfId="1" applyNumberFormat="1" applyFont="1" applyBorder="1" applyAlignment="1">
      <alignment horizontal="right" vertical="center"/>
    </xf>
    <xf numFmtId="49" fontId="2" fillId="0" borderId="2" xfId="0" applyNumberFormat="1" applyFont="1" applyBorder="1"/>
    <xf numFmtId="164" fontId="2" fillId="0" borderId="30" xfId="1" applyNumberFormat="1" applyFont="1" applyBorder="1" applyAlignment="1">
      <alignment horizontal="right" vertical="center"/>
    </xf>
    <xf numFmtId="164" fontId="2" fillId="0" borderId="31" xfId="1" applyNumberFormat="1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43" fontId="0" fillId="0" borderId="0" xfId="1" applyFont="1" applyBorder="1" applyAlignment="1">
      <alignment horizontal="right" vertical="center"/>
    </xf>
    <xf numFmtId="0" fontId="0" fillId="3" borderId="7" xfId="0" applyFill="1" applyBorder="1"/>
    <xf numFmtId="0" fontId="0" fillId="3" borderId="40" xfId="0" applyFill="1" applyBorder="1"/>
    <xf numFmtId="0" fontId="0" fillId="3" borderId="29" xfId="0" applyFill="1" applyBorder="1"/>
    <xf numFmtId="0" fontId="0" fillId="0" borderId="27" xfId="0" applyBorder="1"/>
    <xf numFmtId="0" fontId="2" fillId="0" borderId="28" xfId="0" applyFont="1" applyBorder="1"/>
    <xf numFmtId="0" fontId="0" fillId="3" borderId="3" xfId="0" applyFill="1" applyBorder="1"/>
    <xf numFmtId="0" fontId="0" fillId="3" borderId="27" xfId="0" applyFill="1" applyBorder="1"/>
    <xf numFmtId="0" fontId="2" fillId="4" borderId="5" xfId="0" applyFont="1" applyFill="1" applyBorder="1" applyAlignment="1">
      <alignment horizontal="center" vertical="center"/>
    </xf>
    <xf numFmtId="0" fontId="0" fillId="3" borderId="22" xfId="0" applyFill="1" applyBorder="1"/>
    <xf numFmtId="42" fontId="2" fillId="0" borderId="8" xfId="0" applyNumberFormat="1" applyFont="1" applyBorder="1"/>
    <xf numFmtId="42" fontId="2" fillId="0" borderId="32" xfId="0" applyNumberFormat="1" applyFont="1" applyBorder="1"/>
    <xf numFmtId="42" fontId="2" fillId="0" borderId="9" xfId="0" applyNumberFormat="1" applyFont="1" applyBorder="1"/>
    <xf numFmtId="164" fontId="0" fillId="0" borderId="33" xfId="1" applyNumberFormat="1" applyFont="1" applyBorder="1"/>
    <xf numFmtId="164" fontId="0" fillId="0" borderId="34" xfId="1" applyNumberFormat="1" applyFont="1" applyBorder="1"/>
    <xf numFmtId="164" fontId="2" fillId="0" borderId="33" xfId="1" applyNumberFormat="1" applyFont="1" applyBorder="1"/>
    <xf numFmtId="164" fontId="2" fillId="0" borderId="34" xfId="1" applyNumberFormat="1" applyFont="1" applyBorder="1"/>
    <xf numFmtId="164" fontId="2" fillId="0" borderId="10" xfId="1" applyNumberFormat="1" applyFont="1" applyBorder="1"/>
    <xf numFmtId="164" fontId="2" fillId="0" borderId="35" xfId="1" applyNumberFormat="1" applyFont="1" applyBorder="1"/>
    <xf numFmtId="164" fontId="2" fillId="0" borderId="11" xfId="1" applyNumberFormat="1" applyFont="1" applyBorder="1"/>
    <xf numFmtId="164" fontId="0" fillId="3" borderId="3" xfId="1" applyNumberFormat="1" applyFont="1" applyFill="1" applyBorder="1"/>
    <xf numFmtId="164" fontId="2" fillId="0" borderId="8" xfId="1" applyNumberFormat="1" applyFont="1" applyBorder="1"/>
    <xf numFmtId="164" fontId="2" fillId="0" borderId="32" xfId="1" applyNumberFormat="1" applyFont="1" applyBorder="1"/>
    <xf numFmtId="164" fontId="2" fillId="0" borderId="9" xfId="1" applyNumberFormat="1" applyFont="1" applyBorder="1"/>
    <xf numFmtId="0" fontId="0" fillId="0" borderId="26" xfId="0" applyBorder="1"/>
    <xf numFmtId="0" fontId="0" fillId="0" borderId="29" xfId="0" applyBorder="1"/>
    <xf numFmtId="166" fontId="0" fillId="0" borderId="32" xfId="0" applyNumberFormat="1" applyBorder="1"/>
    <xf numFmtId="166" fontId="0" fillId="0" borderId="9" xfId="0" applyNumberFormat="1" applyBorder="1"/>
    <xf numFmtId="166" fontId="0" fillId="0" borderId="35" xfId="0" applyNumberFormat="1" applyBorder="1"/>
    <xf numFmtId="166" fontId="0" fillId="0" borderId="11" xfId="0" applyNumberFormat="1" applyBorder="1"/>
    <xf numFmtId="166" fontId="0" fillId="0" borderId="32" xfId="1" applyNumberFormat="1" applyFont="1" applyBorder="1"/>
    <xf numFmtId="166" fontId="0" fillId="0" borderId="9" xfId="1" applyNumberFormat="1" applyFont="1" applyBorder="1"/>
    <xf numFmtId="166" fontId="0" fillId="0" borderId="1" xfId="1" applyNumberFormat="1" applyFont="1" applyBorder="1"/>
    <xf numFmtId="166" fontId="0" fillId="0" borderId="34" xfId="1" applyNumberFormat="1" applyFont="1" applyBorder="1"/>
    <xf numFmtId="0" fontId="2" fillId="3" borderId="30" xfId="0" applyFont="1" applyFill="1" applyBorder="1"/>
    <xf numFmtId="167" fontId="2" fillId="0" borderId="35" xfId="1" applyNumberFormat="1" applyFont="1" applyBorder="1"/>
    <xf numFmtId="167" fontId="2" fillId="0" borderId="11" xfId="1" applyNumberFormat="1" applyFont="1" applyBorder="1"/>
    <xf numFmtId="0" fontId="0" fillId="0" borderId="0" xfId="0" applyAlignment="1">
      <alignment horizontal="center" vertical="center"/>
    </xf>
    <xf numFmtId="43" fontId="2" fillId="0" borderId="6" xfId="1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0" fillId="0" borderId="38" xfId="0" applyNumberFormat="1" applyBorder="1" applyAlignment="1">
      <alignment horizontal="left" vertical="center"/>
    </xf>
    <xf numFmtId="43" fontId="1" fillId="0" borderId="39" xfId="1" applyFont="1" applyBorder="1" applyAlignment="1">
      <alignment horizontal="left" vertical="center"/>
    </xf>
    <xf numFmtId="43" fontId="0" fillId="0" borderId="34" xfId="1" applyFont="1" applyFill="1" applyBorder="1" applyAlignment="1">
      <alignment vertical="center"/>
    </xf>
    <xf numFmtId="43" fontId="2" fillId="0" borderId="34" xfId="1" applyFont="1" applyBorder="1" applyAlignment="1">
      <alignment vertical="center"/>
    </xf>
    <xf numFmtId="43" fontId="0" fillId="0" borderId="34" xfId="1" applyFont="1" applyBorder="1" applyAlignment="1">
      <alignment vertical="center"/>
    </xf>
    <xf numFmtId="43" fontId="1" fillId="0" borderId="34" xfId="1" applyFont="1" applyBorder="1" applyAlignment="1">
      <alignment vertical="center"/>
    </xf>
    <xf numFmtId="49" fontId="2" fillId="0" borderId="33" xfId="0" applyNumberFormat="1" applyFont="1" applyBorder="1" applyAlignment="1">
      <alignment horizontal="left" vertical="center"/>
    </xf>
    <xf numFmtId="43" fontId="2" fillId="0" borderId="34" xfId="0" applyNumberFormat="1" applyFont="1" applyBorder="1" applyAlignment="1">
      <alignment horizontal="left" vertical="center"/>
    </xf>
    <xf numFmtId="43" fontId="0" fillId="0" borderId="34" xfId="1" applyFont="1" applyBorder="1"/>
    <xf numFmtId="49" fontId="0" fillId="0" borderId="33" xfId="0" applyNumberFormat="1" applyBorder="1" applyAlignment="1">
      <alignment vertical="center"/>
    </xf>
    <xf numFmtId="0" fontId="0" fillId="0" borderId="0" xfId="0" applyAlignment="1">
      <alignment vertical="center"/>
    </xf>
    <xf numFmtId="49" fontId="2" fillId="0" borderId="33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0" fillId="0" borderId="2" xfId="0" applyBorder="1"/>
    <xf numFmtId="0" fontId="0" fillId="3" borderId="47" xfId="0" applyFill="1" applyBorder="1"/>
    <xf numFmtId="164" fontId="0" fillId="0" borderId="8" xfId="1" applyNumberFormat="1" applyFont="1" applyBorder="1" applyAlignment="1">
      <alignment horizontal="right" vertical="center"/>
    </xf>
    <xf numFmtId="164" fontId="0" fillId="0" borderId="32" xfId="1" applyNumberFormat="1" applyFont="1" applyBorder="1" applyAlignment="1">
      <alignment horizontal="right" vertical="center"/>
    </xf>
    <xf numFmtId="164" fontId="0" fillId="0" borderId="9" xfId="1" applyNumberFormat="1" applyFont="1" applyBorder="1" applyAlignment="1">
      <alignment horizontal="right" vertical="center"/>
    </xf>
    <xf numFmtId="0" fontId="0" fillId="3" borderId="38" xfId="0" applyFill="1" applyBorder="1"/>
    <xf numFmtId="0" fontId="2" fillId="0" borderId="26" xfId="0" applyFont="1" applyBorder="1" applyAlignment="1">
      <alignment horizontal="right" vertical="center"/>
    </xf>
    <xf numFmtId="43" fontId="0" fillId="0" borderId="48" xfId="1" applyFont="1" applyBorder="1" applyAlignment="1">
      <alignment horizontal="right" vertical="center"/>
    </xf>
    <xf numFmtId="49" fontId="2" fillId="0" borderId="49" xfId="0" applyNumberFormat="1" applyFont="1" applyBorder="1" applyAlignment="1">
      <alignment horizontal="left" vertical="center"/>
    </xf>
    <xf numFmtId="0" fontId="2" fillId="0" borderId="49" xfId="0" applyFont="1" applyBorder="1" applyAlignment="1">
      <alignment horizontal="right" vertical="center"/>
    </xf>
    <xf numFmtId="49" fontId="0" fillId="0" borderId="26" xfId="0" applyNumberFormat="1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43" fontId="0" fillId="0" borderId="3" xfId="1" applyFont="1" applyBorder="1" applyAlignment="1">
      <alignment horizontal="right" vertical="center"/>
    </xf>
    <xf numFmtId="43" fontId="0" fillId="0" borderId="38" xfId="1" applyFont="1" applyBorder="1" applyAlignment="1">
      <alignment horizontal="right" vertical="center"/>
    </xf>
    <xf numFmtId="164" fontId="0" fillId="0" borderId="51" xfId="1" applyNumberFormat="1" applyFont="1" applyBorder="1" applyAlignment="1">
      <alignment horizontal="right" vertical="center"/>
    </xf>
    <xf numFmtId="164" fontId="2" fillId="0" borderId="51" xfId="1" applyNumberFormat="1" applyFont="1" applyBorder="1" applyAlignment="1">
      <alignment horizontal="right" vertical="center"/>
    </xf>
    <xf numFmtId="0" fontId="0" fillId="3" borderId="21" xfId="0" applyFill="1" applyBorder="1"/>
    <xf numFmtId="0" fontId="0" fillId="3" borderId="20" xfId="0" applyFill="1" applyBorder="1"/>
    <xf numFmtId="164" fontId="2" fillId="0" borderId="52" xfId="1" applyNumberFormat="1" applyFont="1" applyBorder="1" applyAlignment="1">
      <alignment horizontal="right" vertical="center"/>
    </xf>
    <xf numFmtId="0" fontId="0" fillId="3" borderId="53" xfId="0" applyFill="1" applyBorder="1"/>
    <xf numFmtId="42" fontId="2" fillId="0" borderId="44" xfId="0" applyNumberFormat="1" applyFont="1" applyBorder="1"/>
    <xf numFmtId="164" fontId="0" fillId="0" borderId="51" xfId="1" applyNumberFormat="1" applyFont="1" applyBorder="1"/>
    <xf numFmtId="164" fontId="2" fillId="0" borderId="51" xfId="1" applyNumberFormat="1" applyFont="1" applyBorder="1"/>
    <xf numFmtId="164" fontId="0" fillId="3" borderId="54" xfId="1" applyNumberFormat="1" applyFont="1" applyFill="1" applyBorder="1"/>
    <xf numFmtId="164" fontId="2" fillId="0" borderId="44" xfId="1" applyNumberFormat="1" applyFont="1" applyBorder="1"/>
    <xf numFmtId="164" fontId="2" fillId="0" borderId="50" xfId="1" applyNumberFormat="1" applyFont="1" applyBorder="1" applyAlignment="1">
      <alignment horizontal="right" vertical="center"/>
    </xf>
    <xf numFmtId="164" fontId="0" fillId="3" borderId="0" xfId="1" applyNumberFormat="1" applyFont="1" applyFill="1" applyBorder="1" applyAlignment="1">
      <alignment horizontal="right" vertical="center"/>
    </xf>
    <xf numFmtId="164" fontId="0" fillId="3" borderId="16" xfId="1" applyNumberFormat="1" applyFont="1" applyFill="1" applyBorder="1" applyAlignment="1">
      <alignment horizontal="right" vertical="center"/>
    </xf>
    <xf numFmtId="164" fontId="0" fillId="0" borderId="38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164" fontId="0" fillId="0" borderId="39" xfId="1" applyNumberFormat="1" applyFont="1" applyBorder="1" applyAlignment="1">
      <alignment horizontal="right" vertical="center"/>
    </xf>
    <xf numFmtId="43" fontId="0" fillId="0" borderId="0" xfId="0" applyNumberFormat="1"/>
    <xf numFmtId="43" fontId="0" fillId="0" borderId="0" xfId="1" applyFont="1"/>
    <xf numFmtId="43" fontId="2" fillId="0" borderId="9" xfId="1" applyFont="1" applyBorder="1" applyAlignment="1">
      <alignment horizontal="right" vertical="center"/>
    </xf>
    <xf numFmtId="43" fontId="0" fillId="0" borderId="34" xfId="1" applyFont="1" applyBorder="1" applyAlignment="1">
      <alignment horizontal="right" vertical="center"/>
    </xf>
    <xf numFmtId="43" fontId="0" fillId="0" borderId="43" xfId="1" applyFont="1" applyBorder="1" applyAlignment="1">
      <alignment horizontal="right" vertical="center"/>
    </xf>
    <xf numFmtId="49" fontId="0" fillId="0" borderId="28" xfId="0" applyNumberFormat="1" applyBorder="1" applyAlignment="1">
      <alignment horizontal="right" vertical="center"/>
    </xf>
    <xf numFmtId="164" fontId="0" fillId="3" borderId="15" xfId="1" applyNumberFormat="1" applyFont="1" applyFill="1" applyBorder="1" applyAlignment="1">
      <alignment horizontal="right" vertical="center"/>
    </xf>
    <xf numFmtId="164" fontId="2" fillId="0" borderId="30" xfId="1" applyNumberFormat="1" applyFont="1" applyFill="1" applyBorder="1" applyAlignment="1">
      <alignment horizontal="right" vertical="center"/>
    </xf>
    <xf numFmtId="43" fontId="0" fillId="0" borderId="11" xfId="1" applyFont="1" applyBorder="1" applyAlignment="1">
      <alignment horizontal="right" vertical="center"/>
    </xf>
    <xf numFmtId="164" fontId="0" fillId="3" borderId="42" xfId="1" applyNumberFormat="1" applyFont="1" applyFill="1" applyBorder="1"/>
    <xf numFmtId="164" fontId="0" fillId="3" borderId="43" xfId="1" applyNumberFormat="1" applyFont="1" applyFill="1" applyBorder="1"/>
    <xf numFmtId="164" fontId="0" fillId="0" borderId="8" xfId="1" applyNumberFormat="1" applyFont="1" applyBorder="1"/>
    <xf numFmtId="164" fontId="0" fillId="0" borderId="32" xfId="1" applyNumberFormat="1" applyFont="1" applyBorder="1"/>
    <xf numFmtId="164" fontId="0" fillId="0" borderId="9" xfId="1" applyNumberFormat="1" applyFont="1" applyBorder="1"/>
    <xf numFmtId="165" fontId="0" fillId="0" borderId="0" xfId="0" applyNumberFormat="1"/>
    <xf numFmtId="43" fontId="0" fillId="0" borderId="0" xfId="1" applyFont="1" applyBorder="1"/>
    <xf numFmtId="0" fontId="0" fillId="3" borderId="45" xfId="0" applyFill="1" applyBorder="1"/>
    <xf numFmtId="0" fontId="0" fillId="3" borderId="37" xfId="0" applyFill="1" applyBorder="1"/>
    <xf numFmtId="0" fontId="2" fillId="3" borderId="48" xfId="0" applyFont="1" applyFill="1" applyBorder="1"/>
    <xf numFmtId="166" fontId="0" fillId="0" borderId="8" xfId="1" applyNumberFormat="1" applyFont="1" applyBorder="1"/>
    <xf numFmtId="166" fontId="0" fillId="0" borderId="33" xfId="1" applyNumberFormat="1" applyFont="1" applyBorder="1"/>
    <xf numFmtId="167" fontId="2" fillId="0" borderId="10" xfId="1" applyNumberFormat="1" applyFont="1" applyBorder="1"/>
    <xf numFmtId="0" fontId="0" fillId="0" borderId="37" xfId="0" applyBorder="1"/>
    <xf numFmtId="10" fontId="0" fillId="0" borderId="45" xfId="0" applyNumberFormat="1" applyBorder="1"/>
    <xf numFmtId="166" fontId="2" fillId="0" borderId="48" xfId="0" applyNumberFormat="1" applyFont="1" applyBorder="1"/>
    <xf numFmtId="166" fontId="0" fillId="0" borderId="8" xfId="0" applyNumberFormat="1" applyBorder="1"/>
    <xf numFmtId="166" fontId="0" fillId="0" borderId="10" xfId="0" applyNumberFormat="1" applyBorder="1"/>
    <xf numFmtId="0" fontId="0" fillId="0" borderId="29" xfId="0" applyBorder="1" applyAlignment="1">
      <alignment horizontal="left" vertical="center"/>
    </xf>
    <xf numFmtId="10" fontId="0" fillId="0" borderId="37" xfId="0" applyNumberFormat="1" applyBorder="1"/>
    <xf numFmtId="43" fontId="0" fillId="0" borderId="33" xfId="1" applyFont="1" applyBorder="1"/>
    <xf numFmtId="43" fontId="0" fillId="0" borderId="1" xfId="1" applyFont="1" applyBorder="1"/>
    <xf numFmtId="166" fontId="0" fillId="0" borderId="0" xfId="0" applyNumberFormat="1"/>
    <xf numFmtId="0" fontId="0" fillId="0" borderId="28" xfId="0" applyBorder="1"/>
    <xf numFmtId="43" fontId="0" fillId="0" borderId="8" xfId="1" applyFont="1" applyBorder="1" applyAlignment="1">
      <alignment horizontal="right" vertical="center"/>
    </xf>
    <xf numFmtId="43" fontId="0" fillId="0" borderId="32" xfId="1" applyFont="1" applyBorder="1" applyAlignment="1">
      <alignment horizontal="right" vertical="center"/>
    </xf>
    <xf numFmtId="43" fontId="0" fillId="0" borderId="9" xfId="1" applyFont="1" applyBorder="1" applyAlignment="1">
      <alignment horizontal="right" vertical="center"/>
    </xf>
    <xf numFmtId="43" fontId="0" fillId="0" borderId="10" xfId="1" applyFont="1" applyBorder="1" applyAlignment="1">
      <alignment horizontal="right" vertical="center"/>
    </xf>
    <xf numFmtId="43" fontId="0" fillId="0" borderId="35" xfId="1" applyFont="1" applyBorder="1"/>
    <xf numFmtId="43" fontId="0" fillId="0" borderId="11" xfId="1" applyFont="1" applyBorder="1"/>
    <xf numFmtId="43" fontId="0" fillId="0" borderId="32" xfId="1" applyFont="1" applyBorder="1"/>
    <xf numFmtId="43" fontId="0" fillId="0" borderId="9" xfId="1" applyFont="1" applyBorder="1"/>
    <xf numFmtId="164" fontId="0" fillId="0" borderId="37" xfId="1" applyNumberFormat="1" applyFont="1" applyBorder="1"/>
    <xf numFmtId="42" fontId="0" fillId="3" borderId="42" xfId="0" applyNumberFormat="1" applyFill="1" applyBorder="1"/>
    <xf numFmtId="42" fontId="0" fillId="3" borderId="3" xfId="0" applyNumberFormat="1" applyFill="1" applyBorder="1"/>
    <xf numFmtId="42" fontId="0" fillId="3" borderId="54" xfId="0" applyNumberFormat="1" applyFill="1" applyBorder="1"/>
    <xf numFmtId="42" fontId="0" fillId="3" borderId="43" xfId="0" applyNumberFormat="1" applyFill="1" applyBorder="1"/>
    <xf numFmtId="43" fontId="0" fillId="0" borderId="8" xfId="1" applyFont="1" applyBorder="1"/>
    <xf numFmtId="43" fontId="0" fillId="0" borderId="10" xfId="1" applyFont="1" applyBorder="1"/>
    <xf numFmtId="43" fontId="2" fillId="0" borderId="5" xfId="1" applyFont="1" applyBorder="1"/>
    <xf numFmtId="43" fontId="2" fillId="0" borderId="31" xfId="1" applyFont="1" applyBorder="1"/>
    <xf numFmtId="43" fontId="2" fillId="0" borderId="6" xfId="1" applyFont="1" applyBorder="1"/>
    <xf numFmtId="164" fontId="0" fillId="0" borderId="37" xfId="1" applyNumberFormat="1" applyFont="1" applyBorder="1" applyAlignment="1">
      <alignment horizontal="right" vertical="center"/>
    </xf>
    <xf numFmtId="164" fontId="0" fillId="3" borderId="42" xfId="1" applyNumberFormat="1" applyFont="1" applyFill="1" applyBorder="1" applyAlignment="1">
      <alignment horizontal="right" vertical="center"/>
    </xf>
    <xf numFmtId="164" fontId="0" fillId="3" borderId="3" xfId="1" applyNumberFormat="1" applyFont="1" applyFill="1" applyBorder="1" applyAlignment="1">
      <alignment horizontal="right" vertical="center"/>
    </xf>
    <xf numFmtId="164" fontId="0" fillId="3" borderId="54" xfId="1" applyNumberFormat="1" applyFont="1" applyFill="1" applyBorder="1" applyAlignment="1">
      <alignment horizontal="right" vertical="center"/>
    </xf>
    <xf numFmtId="164" fontId="0" fillId="3" borderId="43" xfId="1" applyNumberFormat="1" applyFont="1" applyFill="1" applyBorder="1" applyAlignment="1">
      <alignment horizontal="right" vertical="center"/>
    </xf>
    <xf numFmtId="168" fontId="0" fillId="0" borderId="33" xfId="1" applyNumberFormat="1" applyFont="1" applyBorder="1"/>
    <xf numFmtId="169" fontId="0" fillId="0" borderId="1" xfId="1" applyNumberFormat="1" applyFont="1" applyBorder="1"/>
    <xf numFmtId="0" fontId="0" fillId="0" borderId="37" xfId="0" applyBorder="1" applyAlignment="1">
      <alignment vertical="center"/>
    </xf>
    <xf numFmtId="49" fontId="0" fillId="0" borderId="37" xfId="0" applyNumberFormat="1" applyBorder="1" applyAlignment="1">
      <alignment vertical="center"/>
    </xf>
    <xf numFmtId="0" fontId="0" fillId="0" borderId="19" xfId="0" applyBorder="1"/>
    <xf numFmtId="0" fontId="0" fillId="0" borderId="16" xfId="0" applyBorder="1"/>
    <xf numFmtId="0" fontId="0" fillId="0" borderId="33" xfId="0" applyBorder="1"/>
    <xf numFmtId="49" fontId="2" fillId="0" borderId="10" xfId="0" applyNumberFormat="1" applyFont="1" applyBorder="1" applyAlignment="1">
      <alignment vertical="center"/>
    </xf>
    <xf numFmtId="43" fontId="2" fillId="0" borderId="11" xfId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0" fillId="0" borderId="34" xfId="0" applyBorder="1"/>
    <xf numFmtId="0" fontId="0" fillId="0" borderId="34" xfId="0" applyBorder="1" applyAlignment="1">
      <alignment vertical="center"/>
    </xf>
    <xf numFmtId="43" fontId="0" fillId="0" borderId="43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left" vertical="center"/>
    </xf>
    <xf numFmtId="43" fontId="2" fillId="0" borderId="0" xfId="1" applyFont="1" applyBorder="1"/>
    <xf numFmtId="43" fontId="2" fillId="0" borderId="0" xfId="1" applyFont="1" applyBorder="1" applyAlignment="1">
      <alignment vertical="center"/>
    </xf>
    <xf numFmtId="43" fontId="0" fillId="0" borderId="11" xfId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7" xfId="0" applyBorder="1"/>
    <xf numFmtId="0" fontId="0" fillId="0" borderId="45" xfId="0" applyBorder="1" applyAlignment="1">
      <alignment vertical="center"/>
    </xf>
    <xf numFmtId="43" fontId="1" fillId="0" borderId="34" xfId="1" applyFont="1" applyFill="1" applyBorder="1" applyAlignment="1">
      <alignment horizontal="left" vertical="center"/>
    </xf>
    <xf numFmtId="43" fontId="1" fillId="0" borderId="34" xfId="1" applyFont="1" applyBorder="1"/>
    <xf numFmtId="49" fontId="0" fillId="0" borderId="10" xfId="0" applyNumberForma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8" xfId="0" applyBorder="1"/>
    <xf numFmtId="0" fontId="0" fillId="0" borderId="10" xfId="0" applyBorder="1"/>
    <xf numFmtId="49" fontId="0" fillId="0" borderId="17" xfId="0" applyNumberFormat="1" applyBorder="1" applyAlignment="1">
      <alignment vertical="center"/>
    </xf>
    <xf numFmtId="43" fontId="2" fillId="0" borderId="6" xfId="1" applyFont="1" applyBorder="1" applyAlignment="1">
      <alignment vertical="center"/>
    </xf>
    <xf numFmtId="43" fontId="2" fillId="0" borderId="34" xfId="1" applyFont="1" applyFill="1" applyBorder="1" applyAlignment="1">
      <alignment vertical="center"/>
    </xf>
    <xf numFmtId="49" fontId="0" fillId="0" borderId="33" xfId="0" applyNumberFormat="1" applyBorder="1" applyAlignment="1">
      <alignment horizontal="left" vertical="center"/>
    </xf>
    <xf numFmtId="43" fontId="1" fillId="0" borderId="34" xfId="1" applyFont="1" applyFill="1" applyBorder="1" applyAlignment="1">
      <alignment vertical="center"/>
    </xf>
    <xf numFmtId="49" fontId="0" fillId="0" borderId="59" xfId="0" applyNumberFormat="1" applyBorder="1" applyAlignment="1">
      <alignment vertical="center"/>
    </xf>
    <xf numFmtId="43" fontId="0" fillId="0" borderId="43" xfId="1" applyFont="1" applyFill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34" xfId="0" applyNumberForma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170" fontId="2" fillId="0" borderId="35" xfId="1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left" vertical="center"/>
    </xf>
    <xf numFmtId="49" fontId="2" fillId="0" borderId="33" xfId="0" applyNumberFormat="1" applyFont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165" fontId="4" fillId="0" borderId="1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43" fontId="2" fillId="0" borderId="57" xfId="1" applyFont="1" applyBorder="1" applyAlignment="1">
      <alignment horizontal="center" vertical="center"/>
    </xf>
    <xf numFmtId="43" fontId="2" fillId="0" borderId="12" xfId="1" applyFont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3" fillId="6" borderId="13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166" fontId="2" fillId="0" borderId="23" xfId="0" applyNumberFormat="1" applyFont="1" applyBorder="1" applyAlignment="1">
      <alignment horizontal="right" vertical="center"/>
    </xf>
    <xf numFmtId="166" fontId="2" fillId="0" borderId="24" xfId="0" applyNumberFormat="1" applyFont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G72"/>
  <sheetViews>
    <sheetView topLeftCell="A4" zoomScaleNormal="100" workbookViewId="0">
      <selection activeCell="A33" sqref="A33"/>
    </sheetView>
  </sheetViews>
  <sheetFormatPr defaultRowHeight="15" x14ac:dyDescent="0.25"/>
  <cols>
    <col min="1" max="1" width="74.140625" customWidth="1"/>
    <col min="2" max="2" width="19.7109375" customWidth="1"/>
    <col min="4" max="4" width="65.140625" customWidth="1"/>
    <col min="5" max="5" width="26.5703125" customWidth="1"/>
    <col min="7" max="7" width="14.7109375" bestFit="1" customWidth="1"/>
  </cols>
  <sheetData>
    <row r="1" spans="1:5" ht="15" customHeight="1" x14ac:dyDescent="0.25">
      <c r="A1" s="245" t="s">
        <v>47</v>
      </c>
      <c r="B1" s="246"/>
      <c r="C1" s="246"/>
      <c r="D1" s="246"/>
      <c r="E1" s="247"/>
    </row>
    <row r="2" spans="1:5" ht="15" customHeight="1" x14ac:dyDescent="0.25">
      <c r="A2" s="248"/>
      <c r="B2" s="249"/>
      <c r="C2" s="249"/>
      <c r="D2" s="249"/>
      <c r="E2" s="250"/>
    </row>
    <row r="3" spans="1:5" ht="15.75" customHeight="1" thickBot="1" x14ac:dyDescent="0.3">
      <c r="A3" s="251"/>
      <c r="B3" s="252"/>
      <c r="C3" s="252"/>
      <c r="D3" s="249"/>
      <c r="E3" s="250"/>
    </row>
    <row r="4" spans="1:5" ht="15" customHeight="1" thickBot="1" x14ac:dyDescent="0.35">
      <c r="A4" s="260" t="s">
        <v>48</v>
      </c>
      <c r="B4" s="261"/>
      <c r="C4" s="102"/>
      <c r="D4" s="256" t="s">
        <v>58</v>
      </c>
      <c r="E4" s="257"/>
    </row>
    <row r="5" spans="1:5" ht="14.45" x14ac:dyDescent="0.3">
      <c r="A5" s="212" t="s">
        <v>94</v>
      </c>
      <c r="B5" s="213" t="s">
        <v>95</v>
      </c>
      <c r="D5" s="258" t="s">
        <v>100</v>
      </c>
      <c r="E5" s="259"/>
    </row>
    <row r="6" spans="1:5" ht="14.45" x14ac:dyDescent="0.3">
      <c r="A6" s="205" t="s">
        <v>89</v>
      </c>
      <c r="B6" s="104">
        <v>44858.46</v>
      </c>
      <c r="D6" s="205" t="s">
        <v>96</v>
      </c>
      <c r="E6" s="215">
        <v>4306.16</v>
      </c>
    </row>
    <row r="7" spans="1:5" ht="14.45" x14ac:dyDescent="0.3">
      <c r="A7" s="103"/>
      <c r="B7" s="214"/>
      <c r="D7" s="205" t="s">
        <v>97</v>
      </c>
      <c r="E7" s="107">
        <v>1836</v>
      </c>
    </row>
    <row r="8" spans="1:5" ht="14.45" x14ac:dyDescent="0.3">
      <c r="A8" s="206" t="s">
        <v>90</v>
      </c>
      <c r="B8" s="104">
        <v>135752.71</v>
      </c>
      <c r="D8" s="205" t="s">
        <v>98</v>
      </c>
      <c r="E8" s="107">
        <v>16097.5</v>
      </c>
    </row>
    <row r="9" spans="1:5" ht="14.45" x14ac:dyDescent="0.3">
      <c r="A9" s="209"/>
      <c r="B9" s="208"/>
      <c r="D9" s="205" t="s">
        <v>99</v>
      </c>
      <c r="E9" s="107">
        <f>2000+20618.8</f>
        <v>22618.799999999999</v>
      </c>
    </row>
    <row r="10" spans="1:5" ht="15" customHeight="1" thickBot="1" x14ac:dyDescent="0.3">
      <c r="A10" s="206" t="s">
        <v>91</v>
      </c>
      <c r="B10" s="105">
        <v>44986.68</v>
      </c>
      <c r="C10" s="255"/>
      <c r="D10" s="224"/>
      <c r="E10" s="222"/>
    </row>
    <row r="11" spans="1:5" ht="15" customHeight="1" thickBot="1" x14ac:dyDescent="0.3">
      <c r="A11" s="206"/>
      <c r="B11" s="105"/>
      <c r="C11" s="255"/>
      <c r="D11" s="223" t="s">
        <v>101</v>
      </c>
      <c r="E11" s="3">
        <f>SUM(E6:E9)</f>
        <v>44858.46</v>
      </c>
    </row>
    <row r="12" spans="1:5" ht="15" customHeight="1" thickBot="1" x14ac:dyDescent="0.3">
      <c r="A12" s="206" t="s">
        <v>92</v>
      </c>
      <c r="B12" s="105">
        <v>47100</v>
      </c>
      <c r="C12" s="255"/>
      <c r="D12" s="113"/>
      <c r="E12" s="217"/>
    </row>
    <row r="13" spans="1:5" ht="15" customHeight="1" thickBot="1" x14ac:dyDescent="0.3">
      <c r="A13" s="206"/>
      <c r="B13" s="105"/>
      <c r="C13" s="255"/>
      <c r="D13" s="263" t="s">
        <v>103</v>
      </c>
      <c r="E13" s="264"/>
    </row>
    <row r="14" spans="1:5" ht="15" customHeight="1" thickBot="1" x14ac:dyDescent="0.3">
      <c r="A14" s="206" t="s">
        <v>93</v>
      </c>
      <c r="B14" s="105">
        <v>25758.5</v>
      </c>
      <c r="C14" s="255"/>
      <c r="D14" s="225" t="s">
        <v>104</v>
      </c>
      <c r="E14" s="240">
        <v>4123.3500000000004</v>
      </c>
    </row>
    <row r="15" spans="1:5" ht="15" customHeight="1" thickBot="1" x14ac:dyDescent="0.3">
      <c r="A15" s="238"/>
      <c r="B15" s="239"/>
      <c r="C15" s="255"/>
      <c r="D15" s="225" t="s">
        <v>115</v>
      </c>
      <c r="E15" s="240">
        <v>7200</v>
      </c>
    </row>
    <row r="16" spans="1:5" ht="15" customHeight="1" x14ac:dyDescent="0.25">
      <c r="A16" s="238"/>
      <c r="B16" s="239"/>
      <c r="C16" s="255"/>
      <c r="D16" s="225" t="s">
        <v>116</v>
      </c>
      <c r="E16" s="240">
        <v>6811.95</v>
      </c>
    </row>
    <row r="17" spans="1:7" ht="15.75" customHeight="1" thickBot="1" x14ac:dyDescent="0.3">
      <c r="A17" s="210"/>
      <c r="B17" s="211"/>
      <c r="C17" s="255"/>
      <c r="D17" s="205" t="s">
        <v>105</v>
      </c>
      <c r="E17" s="107">
        <f>8825.55+1800</f>
        <v>10625.55</v>
      </c>
    </row>
    <row r="18" spans="1:7" ht="15.75" customHeight="1" thickBot="1" x14ac:dyDescent="0.3">
      <c r="A18" s="115" t="s">
        <v>136</v>
      </c>
      <c r="B18" s="100">
        <f>B6+B8+B10+B12+B14</f>
        <v>298456.34999999998</v>
      </c>
      <c r="C18" s="255"/>
      <c r="D18" s="205" t="s">
        <v>106</v>
      </c>
      <c r="E18" s="216">
        <f>12000+5950+4500</f>
        <v>22450</v>
      </c>
    </row>
    <row r="19" spans="1:7" x14ac:dyDescent="0.25">
      <c r="A19" s="207"/>
      <c r="B19" s="207"/>
      <c r="C19" s="255"/>
      <c r="D19" s="205" t="s">
        <v>107</v>
      </c>
      <c r="E19" s="214">
        <v>4437.12</v>
      </c>
    </row>
    <row r="20" spans="1:7" thickBot="1" x14ac:dyDescent="0.35">
      <c r="A20" s="262"/>
      <c r="B20" s="262"/>
      <c r="C20" s="99"/>
      <c r="D20" s="205" t="s">
        <v>108</v>
      </c>
      <c r="E20" s="107">
        <f>6029.5+2917.5</f>
        <v>8947</v>
      </c>
    </row>
    <row r="21" spans="1:7" ht="15" customHeight="1" thickBot="1" x14ac:dyDescent="0.3">
      <c r="A21" s="253" t="s">
        <v>50</v>
      </c>
      <c r="B21" s="254"/>
      <c r="D21" s="205" t="s">
        <v>109</v>
      </c>
      <c r="E21" s="226">
        <f>3000+4500+1377.75+2000+1280</f>
        <v>12157.75</v>
      </c>
    </row>
    <row r="22" spans="1:7" ht="15" customHeight="1" x14ac:dyDescent="0.25">
      <c r="A22" s="242"/>
      <c r="B22" s="243"/>
      <c r="D22" s="205" t="s">
        <v>117</v>
      </c>
      <c r="E22" s="226">
        <v>4000</v>
      </c>
    </row>
    <row r="23" spans="1:7" ht="15" customHeight="1" x14ac:dyDescent="0.25">
      <c r="A23" s="242"/>
      <c r="B23" s="243"/>
      <c r="D23" s="205" t="s">
        <v>126</v>
      </c>
      <c r="E23" s="226">
        <v>5000</v>
      </c>
    </row>
    <row r="24" spans="1:7" x14ac:dyDescent="0.25">
      <c r="A24" s="265" t="s">
        <v>54</v>
      </c>
      <c r="B24" s="266"/>
      <c r="D24" s="205" t="s">
        <v>110</v>
      </c>
      <c r="E24" s="241">
        <v>50000</v>
      </c>
    </row>
    <row r="25" spans="1:7" thickBot="1" x14ac:dyDescent="0.35">
      <c r="A25" s="112" t="s">
        <v>51</v>
      </c>
      <c r="B25" s="105">
        <f>B18*0.03</f>
        <v>8953.6904999999988</v>
      </c>
      <c r="D25" s="228"/>
      <c r="E25" s="222"/>
    </row>
    <row r="26" spans="1:7" thickBot="1" x14ac:dyDescent="0.35">
      <c r="A26" s="112" t="s">
        <v>52</v>
      </c>
      <c r="B26" s="105">
        <f>B18*0.03</f>
        <v>8953.6904999999988</v>
      </c>
      <c r="D26" s="229" t="s">
        <v>102</v>
      </c>
      <c r="E26" s="234">
        <f>E14+E15+E16+E17+E18+E19+E20+E21+E22+E23+E24</f>
        <v>135752.72</v>
      </c>
    </row>
    <row r="27" spans="1:7" thickBot="1" x14ac:dyDescent="0.35">
      <c r="A27" s="114" t="s">
        <v>49</v>
      </c>
      <c r="B27" s="235">
        <f>SUM(B25:B26)</f>
        <v>17907.380999999998</v>
      </c>
      <c r="D27" s="219"/>
      <c r="E27" s="220"/>
    </row>
    <row r="28" spans="1:7" ht="15.75" thickBot="1" x14ac:dyDescent="0.3">
      <c r="A28" s="112"/>
      <c r="B28" s="107"/>
      <c r="D28" s="263" t="s">
        <v>118</v>
      </c>
      <c r="E28" s="264"/>
    </row>
    <row r="29" spans="1:7" x14ac:dyDescent="0.25">
      <c r="A29" s="267" t="s">
        <v>53</v>
      </c>
      <c r="B29" s="268"/>
      <c r="D29" s="225" t="s">
        <v>104</v>
      </c>
      <c r="E29" s="107">
        <v>520.20000000000005</v>
      </c>
    </row>
    <row r="30" spans="1:7" x14ac:dyDescent="0.25">
      <c r="A30" s="112" t="s">
        <v>114</v>
      </c>
      <c r="B30" s="108">
        <f>B18*0.22</f>
        <v>65660.396999999997</v>
      </c>
      <c r="D30" s="205" t="s">
        <v>127</v>
      </c>
      <c r="E30" s="107">
        <f>1449.18+1041.6+629.6</f>
        <v>3120.3799999999997</v>
      </c>
    </row>
    <row r="31" spans="1:7" ht="14.45" x14ac:dyDescent="0.3">
      <c r="A31" s="236" t="s">
        <v>55</v>
      </c>
      <c r="B31" s="237">
        <f>B27*0.22</f>
        <v>3939.6238199999993</v>
      </c>
      <c r="D31" s="205" t="s">
        <v>128</v>
      </c>
      <c r="E31" s="107">
        <f>8825.55+1200</f>
        <v>10025.549999999999</v>
      </c>
      <c r="G31" s="161"/>
    </row>
    <row r="32" spans="1:7" ht="14.45" x14ac:dyDescent="0.3">
      <c r="A32" s="109" t="s">
        <v>49</v>
      </c>
      <c r="B32" s="106">
        <f>SUM(B30:B31)</f>
        <v>69600.020819999991</v>
      </c>
      <c r="C32" s="1"/>
      <c r="D32" s="205" t="s">
        <v>129</v>
      </c>
      <c r="E32" s="216">
        <f>6750+7000</f>
        <v>13750</v>
      </c>
      <c r="G32" s="161"/>
    </row>
    <row r="33" spans="1:5" ht="14.45" x14ac:dyDescent="0.3">
      <c r="A33" s="109"/>
      <c r="B33" s="110"/>
      <c r="D33" s="205" t="s">
        <v>130</v>
      </c>
      <c r="E33" s="214">
        <v>1972.05</v>
      </c>
    </row>
    <row r="34" spans="1:5" thickBot="1" x14ac:dyDescent="0.35">
      <c r="A34" s="101" t="s">
        <v>56</v>
      </c>
      <c r="B34" s="3">
        <f>B27+B32</f>
        <v>87507.401819999985</v>
      </c>
      <c r="D34" s="205" t="s">
        <v>131</v>
      </c>
      <c r="E34" s="226">
        <f>3000+3000+918.5+1000+680</f>
        <v>8598.5</v>
      </c>
    </row>
    <row r="35" spans="1:5" ht="14.45" x14ac:dyDescent="0.3">
      <c r="D35" s="205" t="s">
        <v>132</v>
      </c>
      <c r="E35" s="227">
        <v>4000</v>
      </c>
    </row>
    <row r="36" spans="1:5" thickBot="1" x14ac:dyDescent="0.35">
      <c r="D36" s="205" t="s">
        <v>133</v>
      </c>
      <c r="E36" s="227">
        <v>3000</v>
      </c>
    </row>
    <row r="37" spans="1:5" ht="15" customHeight="1" thickBot="1" x14ac:dyDescent="0.3">
      <c r="A37" s="274" t="s">
        <v>57</v>
      </c>
      <c r="B37" s="276">
        <f>B18+B34</f>
        <v>385963.75181999995</v>
      </c>
      <c r="D37" s="232"/>
      <c r="E37" s="231"/>
    </row>
    <row r="38" spans="1:5" ht="15" customHeight="1" thickBot="1" x14ac:dyDescent="0.3">
      <c r="A38" s="275"/>
      <c r="B38" s="277"/>
      <c r="D38" s="229" t="s">
        <v>119</v>
      </c>
      <c r="E38" s="234">
        <f>SUM(E29:E36)</f>
        <v>44986.679999999993</v>
      </c>
    </row>
    <row r="39" spans="1:5" thickBot="1" x14ac:dyDescent="0.35">
      <c r="D39" s="113"/>
      <c r="E39" s="113"/>
    </row>
    <row r="40" spans="1:5" thickBot="1" x14ac:dyDescent="0.35">
      <c r="D40" s="263" t="s">
        <v>120</v>
      </c>
      <c r="E40" s="264"/>
    </row>
    <row r="41" spans="1:5" x14ac:dyDescent="0.25">
      <c r="D41" s="225" t="s">
        <v>123</v>
      </c>
      <c r="E41" s="240">
        <v>15000</v>
      </c>
    </row>
    <row r="42" spans="1:5" x14ac:dyDescent="0.25">
      <c r="D42" s="205" t="s">
        <v>124</v>
      </c>
      <c r="E42" s="107">
        <f>20100</f>
        <v>20100</v>
      </c>
    </row>
    <row r="43" spans="1:5" x14ac:dyDescent="0.25">
      <c r="D43" s="205" t="s">
        <v>125</v>
      </c>
      <c r="E43" s="107">
        <f>12000</f>
        <v>12000</v>
      </c>
    </row>
    <row r="44" spans="1:5" ht="15.75" thickBot="1" x14ac:dyDescent="0.3">
      <c r="D44" s="233"/>
      <c r="E44" s="222"/>
    </row>
    <row r="45" spans="1:5" ht="15.75" thickBot="1" x14ac:dyDescent="0.3">
      <c r="D45" s="229" t="s">
        <v>111</v>
      </c>
      <c r="E45" s="234">
        <f>SUM(E41:E43)</f>
        <v>47100</v>
      </c>
    </row>
    <row r="46" spans="1:5" ht="15.75" thickBot="1" x14ac:dyDescent="0.3">
      <c r="D46" s="113"/>
      <c r="E46" s="113"/>
    </row>
    <row r="47" spans="1:5" ht="15.75" thickBot="1" x14ac:dyDescent="0.3">
      <c r="D47" s="263" t="s">
        <v>121</v>
      </c>
      <c r="E47" s="264"/>
    </row>
    <row r="48" spans="1:5" x14ac:dyDescent="0.25">
      <c r="D48" s="225" t="s">
        <v>112</v>
      </c>
      <c r="E48" s="107">
        <v>15000</v>
      </c>
    </row>
    <row r="49" spans="4:5" x14ac:dyDescent="0.25">
      <c r="D49" s="205" t="s">
        <v>134</v>
      </c>
      <c r="E49" s="107">
        <f>1500+2500+918.5+1000+840</f>
        <v>6758.5</v>
      </c>
    </row>
    <row r="50" spans="4:5" x14ac:dyDescent="0.25">
      <c r="D50" s="205" t="s">
        <v>135</v>
      </c>
      <c r="E50" s="107">
        <f>4000</f>
        <v>4000</v>
      </c>
    </row>
    <row r="51" spans="4:5" ht="15.75" thickBot="1" x14ac:dyDescent="0.3">
      <c r="D51" s="233"/>
      <c r="E51" s="222"/>
    </row>
    <row r="52" spans="4:5" ht="15.75" thickBot="1" x14ac:dyDescent="0.3">
      <c r="D52" s="229" t="s">
        <v>122</v>
      </c>
      <c r="E52" s="234">
        <f>SUM(E48:E50)</f>
        <v>25758.5</v>
      </c>
    </row>
    <row r="53" spans="4:5" x14ac:dyDescent="0.25">
      <c r="D53" s="230"/>
      <c r="E53" s="230"/>
    </row>
    <row r="54" spans="4:5" ht="15.75" thickBot="1" x14ac:dyDescent="0.3">
      <c r="D54" s="218"/>
      <c r="E54" s="217"/>
    </row>
    <row r="55" spans="4:5" x14ac:dyDescent="0.25">
      <c r="D55" s="270" t="s">
        <v>113</v>
      </c>
      <c r="E55" s="272">
        <f>E11+E26+E38+E45+E52</f>
        <v>298456.36</v>
      </c>
    </row>
    <row r="56" spans="4:5" ht="15.75" thickBot="1" x14ac:dyDescent="0.3">
      <c r="D56" s="271"/>
      <c r="E56" s="273"/>
    </row>
    <row r="57" spans="4:5" x14ac:dyDescent="0.25">
      <c r="D57" s="99"/>
      <c r="E57" s="99"/>
    </row>
    <row r="58" spans="4:5" x14ac:dyDescent="0.25">
      <c r="D58" s="230"/>
      <c r="E58" s="230"/>
    </row>
    <row r="59" spans="4:5" x14ac:dyDescent="0.25">
      <c r="D59" s="218"/>
      <c r="E59" s="217"/>
    </row>
    <row r="60" spans="4:5" x14ac:dyDescent="0.25">
      <c r="D60" s="218"/>
      <c r="E60" s="217"/>
    </row>
    <row r="61" spans="4:5" x14ac:dyDescent="0.25">
      <c r="D61" s="218"/>
      <c r="E61" s="217"/>
    </row>
    <row r="62" spans="4:5" x14ac:dyDescent="0.25">
      <c r="D62" s="218"/>
      <c r="E62" s="217"/>
    </row>
    <row r="63" spans="4:5" x14ac:dyDescent="0.25">
      <c r="D63" s="218"/>
      <c r="E63" s="113"/>
    </row>
    <row r="64" spans="4:5" x14ac:dyDescent="0.25">
      <c r="D64" s="27"/>
      <c r="E64" s="221"/>
    </row>
    <row r="65" spans="4:5" x14ac:dyDescent="0.25">
      <c r="D65" s="269"/>
      <c r="E65" s="269"/>
    </row>
    <row r="66" spans="4:5" x14ac:dyDescent="0.25">
      <c r="D66" s="27"/>
      <c r="E66" s="221"/>
    </row>
    <row r="72" spans="4:5" x14ac:dyDescent="0.25">
      <c r="D72" s="113"/>
      <c r="E72" s="113"/>
    </row>
  </sheetData>
  <mergeCells count="18">
    <mergeCell ref="A24:B24"/>
    <mergeCell ref="A29:B29"/>
    <mergeCell ref="D65:E65"/>
    <mergeCell ref="D47:E47"/>
    <mergeCell ref="D55:D56"/>
    <mergeCell ref="E55:E56"/>
    <mergeCell ref="A37:A38"/>
    <mergeCell ref="B37:B38"/>
    <mergeCell ref="D28:E28"/>
    <mergeCell ref="D40:E40"/>
    <mergeCell ref="A1:E3"/>
    <mergeCell ref="A21:B21"/>
    <mergeCell ref="C10:C19"/>
    <mergeCell ref="D4:E4"/>
    <mergeCell ref="D5:E5"/>
    <mergeCell ref="A4:B4"/>
    <mergeCell ref="A20:B20"/>
    <mergeCell ref="D13:E13"/>
  </mergeCells>
  <pageMargins left="0.7" right="0.7" top="0.75" bottom="0.75" header="0.3" footer="0.3"/>
  <pageSetup paperSize="8" scale="90" orientation="landscape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AA35"/>
  <sheetViews>
    <sheetView workbookViewId="0">
      <selection activeCell="C21" sqref="C21"/>
    </sheetView>
  </sheetViews>
  <sheetFormatPr defaultRowHeight="15" x14ac:dyDescent="0.25"/>
  <cols>
    <col min="1" max="1" width="49.28515625" customWidth="1"/>
    <col min="2" max="2" width="5.85546875" bestFit="1" customWidth="1"/>
    <col min="3" max="3" width="14.42578125" bestFit="1" customWidth="1"/>
    <col min="4" max="4" width="13.28515625" bestFit="1" customWidth="1"/>
    <col min="5" max="22" width="13.28515625" customWidth="1"/>
    <col min="23" max="27" width="13.28515625" bestFit="1" customWidth="1"/>
  </cols>
  <sheetData>
    <row r="1" spans="1:27" ht="15" customHeight="1" x14ac:dyDescent="0.25">
      <c r="A1" s="248" t="s">
        <v>61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27" ht="15.75" customHeight="1" thickBot="1" x14ac:dyDescent="0.3">
      <c r="A2" s="248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27" s="2" customFormat="1" thickBot="1" x14ac:dyDescent="0.35">
      <c r="A3" s="116" t="s">
        <v>59</v>
      </c>
      <c r="B3" s="12" t="s">
        <v>1</v>
      </c>
      <c r="C3" s="25">
        <v>2024</v>
      </c>
      <c r="D3" s="25">
        <v>2025</v>
      </c>
      <c r="E3" s="25">
        <v>2026</v>
      </c>
      <c r="F3" s="25">
        <v>2027</v>
      </c>
      <c r="G3" s="25">
        <v>2028</v>
      </c>
      <c r="H3" s="25">
        <v>2029</v>
      </c>
      <c r="I3" s="25">
        <v>2030</v>
      </c>
      <c r="J3" s="25">
        <v>2031</v>
      </c>
      <c r="K3" s="25">
        <v>2032</v>
      </c>
      <c r="L3" s="25">
        <v>2033</v>
      </c>
      <c r="M3" s="25">
        <v>2034</v>
      </c>
      <c r="N3" s="25">
        <v>2035</v>
      </c>
      <c r="O3" s="25">
        <v>2036</v>
      </c>
      <c r="P3" s="25">
        <v>2037</v>
      </c>
      <c r="Q3" s="25">
        <v>2038</v>
      </c>
      <c r="R3" s="25">
        <v>2039</v>
      </c>
      <c r="S3" s="25">
        <v>2040</v>
      </c>
      <c r="T3" s="25">
        <v>2041</v>
      </c>
      <c r="U3" s="25">
        <v>2042</v>
      </c>
      <c r="V3" s="25">
        <v>2043</v>
      </c>
      <c r="W3" s="25">
        <v>2044</v>
      </c>
      <c r="X3" s="25">
        <v>2045</v>
      </c>
      <c r="Y3" s="25">
        <v>2046</v>
      </c>
      <c r="Z3" s="25">
        <v>2047</v>
      </c>
      <c r="AA3" s="25">
        <v>2048</v>
      </c>
    </row>
    <row r="4" spans="1:27" s="2" customFormat="1" ht="14.45" x14ac:dyDescent="0.3">
      <c r="A4" s="6" t="s">
        <v>0</v>
      </c>
      <c r="B4" s="122"/>
      <c r="C4" s="15">
        <f t="shared" ref="C4:AA4" si="0">SUM(C5:C10)</f>
        <v>308456.34999999998</v>
      </c>
      <c r="D4" s="16">
        <f t="shared" si="0"/>
        <v>0</v>
      </c>
      <c r="E4" s="16">
        <f t="shared" si="0"/>
        <v>0</v>
      </c>
      <c r="F4" s="16">
        <f t="shared" si="0"/>
        <v>0</v>
      </c>
      <c r="G4" s="16">
        <f t="shared" si="0"/>
        <v>0</v>
      </c>
      <c r="H4" s="16">
        <f t="shared" si="0"/>
        <v>0</v>
      </c>
      <c r="I4" s="16">
        <f t="shared" si="0"/>
        <v>0</v>
      </c>
      <c r="J4" s="16">
        <f t="shared" si="0"/>
        <v>0</v>
      </c>
      <c r="K4" s="16">
        <f t="shared" si="0"/>
        <v>0</v>
      </c>
      <c r="L4" s="16">
        <f t="shared" si="0"/>
        <v>0</v>
      </c>
      <c r="M4" s="16">
        <f t="shared" si="0"/>
        <v>0</v>
      </c>
      <c r="N4" s="16">
        <f t="shared" si="0"/>
        <v>0</v>
      </c>
      <c r="O4" s="16">
        <f t="shared" si="0"/>
        <v>0</v>
      </c>
      <c r="P4" s="16">
        <f t="shared" si="0"/>
        <v>0</v>
      </c>
      <c r="Q4" s="16">
        <f t="shared" si="0"/>
        <v>0</v>
      </c>
      <c r="R4" s="16">
        <f t="shared" si="0"/>
        <v>0</v>
      </c>
      <c r="S4" s="16">
        <f t="shared" si="0"/>
        <v>0</v>
      </c>
      <c r="T4" s="16">
        <f t="shared" si="0"/>
        <v>0</v>
      </c>
      <c r="U4" s="16">
        <f t="shared" si="0"/>
        <v>0</v>
      </c>
      <c r="V4" s="16">
        <f t="shared" si="0"/>
        <v>0</v>
      </c>
      <c r="W4" s="16">
        <f t="shared" si="0"/>
        <v>0</v>
      </c>
      <c r="X4" s="16">
        <f t="shared" si="0"/>
        <v>0</v>
      </c>
      <c r="Y4" s="16">
        <f t="shared" si="0"/>
        <v>0</v>
      </c>
      <c r="Z4" s="16">
        <f t="shared" si="0"/>
        <v>0</v>
      </c>
      <c r="AA4" s="149">
        <f t="shared" si="0"/>
        <v>0</v>
      </c>
    </row>
    <row r="5" spans="1:27" ht="14.45" x14ac:dyDescent="0.3">
      <c r="A5" s="8" t="s">
        <v>139</v>
      </c>
      <c r="B5" s="13"/>
      <c r="C5" s="17">
        <f>'Quadro Economico'!B6</f>
        <v>44858.46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150"/>
    </row>
    <row r="6" spans="1:27" ht="14.45" x14ac:dyDescent="0.3">
      <c r="A6" s="8" t="s">
        <v>140</v>
      </c>
      <c r="B6" s="13"/>
      <c r="C6" s="17">
        <f>'Quadro Economico'!B8</f>
        <v>135752.71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50"/>
    </row>
    <row r="7" spans="1:27" ht="14.45" x14ac:dyDescent="0.3">
      <c r="A7" s="8" t="s">
        <v>141</v>
      </c>
      <c r="B7" s="13"/>
      <c r="C7" s="24">
        <f>'Quadro Economico'!B10</f>
        <v>44986.68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150"/>
    </row>
    <row r="8" spans="1:27" ht="14.45" x14ac:dyDescent="0.3">
      <c r="A8" s="8" t="s">
        <v>142</v>
      </c>
      <c r="B8" s="13"/>
      <c r="C8" s="24">
        <f>'Quadro Economico'!B12</f>
        <v>47100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150"/>
    </row>
    <row r="9" spans="1:27" x14ac:dyDescent="0.25">
      <c r="A9" s="8" t="s">
        <v>143</v>
      </c>
      <c r="B9" s="13"/>
      <c r="C9" s="24">
        <f>'Quadro Economico'!B14</f>
        <v>25758.5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150"/>
    </row>
    <row r="10" spans="1:27" ht="15.75" thickBot="1" x14ac:dyDescent="0.3">
      <c r="A10" s="9" t="s">
        <v>138</v>
      </c>
      <c r="B10" s="14"/>
      <c r="C10" s="123">
        <v>10000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55"/>
    </row>
    <row r="11" spans="1:27" thickBot="1" x14ac:dyDescent="0.35">
      <c r="A11" s="278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</row>
    <row r="12" spans="1:27" s="2" customFormat="1" ht="15.75" thickBot="1" x14ac:dyDescent="0.3">
      <c r="A12" s="19" t="s">
        <v>2</v>
      </c>
      <c r="B12" s="20"/>
      <c r="C12" s="21">
        <f t="shared" ref="C12:AA12" si="1">SUM(C13:C18)</f>
        <v>13938.254000000001</v>
      </c>
      <c r="D12" s="22">
        <f t="shared" si="1"/>
        <v>13938.254000000001</v>
      </c>
      <c r="E12" s="22">
        <f t="shared" si="1"/>
        <v>13938.254000000001</v>
      </c>
      <c r="F12" s="22">
        <f t="shared" si="1"/>
        <v>13938.254000000001</v>
      </c>
      <c r="G12" s="22">
        <f t="shared" si="1"/>
        <v>13938.254000000001</v>
      </c>
      <c r="H12" s="22">
        <f t="shared" si="1"/>
        <v>11938.254000000001</v>
      </c>
      <c r="I12" s="22">
        <f t="shared" si="1"/>
        <v>11938.254000000001</v>
      </c>
      <c r="J12" s="22">
        <f t="shared" si="1"/>
        <v>11938.254000000001</v>
      </c>
      <c r="K12" s="22">
        <f t="shared" si="1"/>
        <v>11938.254000000001</v>
      </c>
      <c r="L12" s="22">
        <f t="shared" si="1"/>
        <v>11938.254000000001</v>
      </c>
      <c r="M12" s="22">
        <f t="shared" si="1"/>
        <v>11938.254000000001</v>
      </c>
      <c r="N12" s="22">
        <f t="shared" si="1"/>
        <v>11938.254000000001</v>
      </c>
      <c r="O12" s="22">
        <f t="shared" si="1"/>
        <v>11938.254000000001</v>
      </c>
      <c r="P12" s="22">
        <f t="shared" si="1"/>
        <v>11938.254000000001</v>
      </c>
      <c r="Q12" s="22">
        <f t="shared" si="1"/>
        <v>11938.254000000001</v>
      </c>
      <c r="R12" s="22">
        <f t="shared" si="1"/>
        <v>11938.254000000001</v>
      </c>
      <c r="S12" s="22">
        <f t="shared" si="1"/>
        <v>11938.254000000001</v>
      </c>
      <c r="T12" s="22">
        <f t="shared" si="1"/>
        <v>11938.254000000001</v>
      </c>
      <c r="U12" s="22">
        <f t="shared" si="1"/>
        <v>11938.254000000001</v>
      </c>
      <c r="V12" s="22">
        <f t="shared" si="1"/>
        <v>11938.254000000001</v>
      </c>
      <c r="W12" s="22">
        <f t="shared" si="1"/>
        <v>11938.254000000001</v>
      </c>
      <c r="X12" s="22">
        <f t="shared" si="1"/>
        <v>11938.254000000001</v>
      </c>
      <c r="Y12" s="22">
        <f t="shared" si="1"/>
        <v>11938.254000000001</v>
      </c>
      <c r="Z12" s="22">
        <f t="shared" si="1"/>
        <v>11938.254000000001</v>
      </c>
      <c r="AA12" s="23">
        <f t="shared" si="1"/>
        <v>11938.254000000001</v>
      </c>
    </row>
    <row r="13" spans="1:27" ht="14.45" customHeight="1" x14ac:dyDescent="0.25">
      <c r="A13" s="126" t="s">
        <v>139</v>
      </c>
      <c r="B13" s="127">
        <v>25</v>
      </c>
      <c r="C13" s="129">
        <f>$C$5/25</f>
        <v>1794.3383999999999</v>
      </c>
      <c r="D13" s="129">
        <f t="shared" ref="D13:AA13" si="2">$C$5/25</f>
        <v>1794.3383999999999</v>
      </c>
      <c r="E13" s="129">
        <f t="shared" si="2"/>
        <v>1794.3383999999999</v>
      </c>
      <c r="F13" s="129">
        <f t="shared" si="2"/>
        <v>1794.3383999999999</v>
      </c>
      <c r="G13" s="129">
        <f t="shared" si="2"/>
        <v>1794.3383999999999</v>
      </c>
      <c r="H13" s="129">
        <f t="shared" si="2"/>
        <v>1794.3383999999999</v>
      </c>
      <c r="I13" s="129">
        <f t="shared" si="2"/>
        <v>1794.3383999999999</v>
      </c>
      <c r="J13" s="129">
        <f t="shared" si="2"/>
        <v>1794.3383999999999</v>
      </c>
      <c r="K13" s="129">
        <f t="shared" si="2"/>
        <v>1794.3383999999999</v>
      </c>
      <c r="L13" s="129">
        <f t="shared" si="2"/>
        <v>1794.3383999999999</v>
      </c>
      <c r="M13" s="129">
        <f t="shared" si="2"/>
        <v>1794.3383999999999</v>
      </c>
      <c r="N13" s="129">
        <f t="shared" si="2"/>
        <v>1794.3383999999999</v>
      </c>
      <c r="O13" s="129">
        <f t="shared" si="2"/>
        <v>1794.3383999999999</v>
      </c>
      <c r="P13" s="129">
        <f t="shared" si="2"/>
        <v>1794.3383999999999</v>
      </c>
      <c r="Q13" s="129">
        <f t="shared" si="2"/>
        <v>1794.3383999999999</v>
      </c>
      <c r="R13" s="129">
        <f t="shared" si="2"/>
        <v>1794.3383999999999</v>
      </c>
      <c r="S13" s="129">
        <f t="shared" si="2"/>
        <v>1794.3383999999999</v>
      </c>
      <c r="T13" s="129">
        <f t="shared" si="2"/>
        <v>1794.3383999999999</v>
      </c>
      <c r="U13" s="129">
        <f t="shared" si="2"/>
        <v>1794.3383999999999</v>
      </c>
      <c r="V13" s="129">
        <f t="shared" si="2"/>
        <v>1794.3383999999999</v>
      </c>
      <c r="W13" s="129">
        <f t="shared" si="2"/>
        <v>1794.3383999999999</v>
      </c>
      <c r="X13" s="129">
        <f t="shared" si="2"/>
        <v>1794.3383999999999</v>
      </c>
      <c r="Y13" s="129">
        <f t="shared" si="2"/>
        <v>1794.3383999999999</v>
      </c>
      <c r="Z13" s="129">
        <f t="shared" si="2"/>
        <v>1794.3383999999999</v>
      </c>
      <c r="AA13" s="129">
        <f t="shared" si="2"/>
        <v>1794.3383999999999</v>
      </c>
    </row>
    <row r="14" spans="1:27" ht="14.45" customHeight="1" x14ac:dyDescent="0.25">
      <c r="A14" s="8" t="s">
        <v>140</v>
      </c>
      <c r="B14" s="13">
        <v>25</v>
      </c>
      <c r="C14" s="129">
        <f>$C$6/25</f>
        <v>5430.1084000000001</v>
      </c>
      <c r="D14" s="129">
        <f t="shared" ref="D14:AA14" si="3">$C$6/25</f>
        <v>5430.1084000000001</v>
      </c>
      <c r="E14" s="129">
        <f t="shared" si="3"/>
        <v>5430.1084000000001</v>
      </c>
      <c r="F14" s="129">
        <f t="shared" si="3"/>
        <v>5430.1084000000001</v>
      </c>
      <c r="G14" s="129">
        <f t="shared" si="3"/>
        <v>5430.1084000000001</v>
      </c>
      <c r="H14" s="129">
        <f t="shared" si="3"/>
        <v>5430.1084000000001</v>
      </c>
      <c r="I14" s="129">
        <f t="shared" si="3"/>
        <v>5430.1084000000001</v>
      </c>
      <c r="J14" s="129">
        <f t="shared" si="3"/>
        <v>5430.1084000000001</v>
      </c>
      <c r="K14" s="129">
        <f t="shared" si="3"/>
        <v>5430.1084000000001</v>
      </c>
      <c r="L14" s="129">
        <f t="shared" si="3"/>
        <v>5430.1084000000001</v>
      </c>
      <c r="M14" s="129">
        <f t="shared" si="3"/>
        <v>5430.1084000000001</v>
      </c>
      <c r="N14" s="129">
        <f t="shared" si="3"/>
        <v>5430.1084000000001</v>
      </c>
      <c r="O14" s="129">
        <f t="shared" si="3"/>
        <v>5430.1084000000001</v>
      </c>
      <c r="P14" s="129">
        <f t="shared" si="3"/>
        <v>5430.1084000000001</v>
      </c>
      <c r="Q14" s="129">
        <f t="shared" si="3"/>
        <v>5430.1084000000001</v>
      </c>
      <c r="R14" s="129">
        <f t="shared" si="3"/>
        <v>5430.1084000000001</v>
      </c>
      <c r="S14" s="129">
        <f t="shared" si="3"/>
        <v>5430.1084000000001</v>
      </c>
      <c r="T14" s="129">
        <f t="shared" si="3"/>
        <v>5430.1084000000001</v>
      </c>
      <c r="U14" s="129">
        <f t="shared" si="3"/>
        <v>5430.1084000000001</v>
      </c>
      <c r="V14" s="129">
        <f t="shared" si="3"/>
        <v>5430.1084000000001</v>
      </c>
      <c r="W14" s="129">
        <f t="shared" si="3"/>
        <v>5430.1084000000001</v>
      </c>
      <c r="X14" s="129">
        <f t="shared" si="3"/>
        <v>5430.1084000000001</v>
      </c>
      <c r="Y14" s="129">
        <f t="shared" si="3"/>
        <v>5430.1084000000001</v>
      </c>
      <c r="Z14" s="129">
        <f t="shared" si="3"/>
        <v>5430.1084000000001</v>
      </c>
      <c r="AA14" s="129">
        <f t="shared" si="3"/>
        <v>5430.1084000000001</v>
      </c>
    </row>
    <row r="15" spans="1:27" ht="14.45" customHeight="1" x14ac:dyDescent="0.25">
      <c r="A15" s="8" t="s">
        <v>141</v>
      </c>
      <c r="B15" s="13">
        <v>25</v>
      </c>
      <c r="C15" s="129">
        <f>$C$7/25</f>
        <v>1799.4672</v>
      </c>
      <c r="D15" s="129">
        <f t="shared" ref="D15:AA15" si="4">$C$7/25</f>
        <v>1799.4672</v>
      </c>
      <c r="E15" s="129">
        <f t="shared" si="4"/>
        <v>1799.4672</v>
      </c>
      <c r="F15" s="129">
        <f t="shared" si="4"/>
        <v>1799.4672</v>
      </c>
      <c r="G15" s="129">
        <f t="shared" si="4"/>
        <v>1799.4672</v>
      </c>
      <c r="H15" s="129">
        <f t="shared" si="4"/>
        <v>1799.4672</v>
      </c>
      <c r="I15" s="129">
        <f t="shared" si="4"/>
        <v>1799.4672</v>
      </c>
      <c r="J15" s="129">
        <f t="shared" si="4"/>
        <v>1799.4672</v>
      </c>
      <c r="K15" s="129">
        <f t="shared" si="4"/>
        <v>1799.4672</v>
      </c>
      <c r="L15" s="129">
        <f t="shared" si="4"/>
        <v>1799.4672</v>
      </c>
      <c r="M15" s="129">
        <f t="shared" si="4"/>
        <v>1799.4672</v>
      </c>
      <c r="N15" s="129">
        <f t="shared" si="4"/>
        <v>1799.4672</v>
      </c>
      <c r="O15" s="129">
        <f t="shared" si="4"/>
        <v>1799.4672</v>
      </c>
      <c r="P15" s="129">
        <f t="shared" si="4"/>
        <v>1799.4672</v>
      </c>
      <c r="Q15" s="129">
        <f t="shared" si="4"/>
        <v>1799.4672</v>
      </c>
      <c r="R15" s="129">
        <f t="shared" si="4"/>
        <v>1799.4672</v>
      </c>
      <c r="S15" s="129">
        <f t="shared" si="4"/>
        <v>1799.4672</v>
      </c>
      <c r="T15" s="129">
        <f t="shared" si="4"/>
        <v>1799.4672</v>
      </c>
      <c r="U15" s="129">
        <f t="shared" si="4"/>
        <v>1799.4672</v>
      </c>
      <c r="V15" s="129">
        <f t="shared" si="4"/>
        <v>1799.4672</v>
      </c>
      <c r="W15" s="129">
        <f t="shared" si="4"/>
        <v>1799.4672</v>
      </c>
      <c r="X15" s="129">
        <f t="shared" si="4"/>
        <v>1799.4672</v>
      </c>
      <c r="Y15" s="129">
        <f t="shared" si="4"/>
        <v>1799.4672</v>
      </c>
      <c r="Z15" s="129">
        <f t="shared" si="4"/>
        <v>1799.4672</v>
      </c>
      <c r="AA15" s="129">
        <f t="shared" si="4"/>
        <v>1799.4672</v>
      </c>
    </row>
    <row r="16" spans="1:27" ht="14.45" customHeight="1" x14ac:dyDescent="0.25">
      <c r="A16" s="8" t="s">
        <v>142</v>
      </c>
      <c r="B16" s="13">
        <v>25</v>
      </c>
      <c r="C16" s="129">
        <f>$C$8/25</f>
        <v>1884</v>
      </c>
      <c r="D16" s="129">
        <f t="shared" ref="D16:AA16" si="5">$C$8/25</f>
        <v>1884</v>
      </c>
      <c r="E16" s="129">
        <f t="shared" si="5"/>
        <v>1884</v>
      </c>
      <c r="F16" s="129">
        <f t="shared" si="5"/>
        <v>1884</v>
      </c>
      <c r="G16" s="129">
        <f t="shared" si="5"/>
        <v>1884</v>
      </c>
      <c r="H16" s="129">
        <f t="shared" si="5"/>
        <v>1884</v>
      </c>
      <c r="I16" s="129">
        <f t="shared" si="5"/>
        <v>1884</v>
      </c>
      <c r="J16" s="129">
        <f t="shared" si="5"/>
        <v>1884</v>
      </c>
      <c r="K16" s="129">
        <f t="shared" si="5"/>
        <v>1884</v>
      </c>
      <c r="L16" s="129">
        <f t="shared" si="5"/>
        <v>1884</v>
      </c>
      <c r="M16" s="129">
        <f t="shared" si="5"/>
        <v>1884</v>
      </c>
      <c r="N16" s="129">
        <f t="shared" si="5"/>
        <v>1884</v>
      </c>
      <c r="O16" s="129">
        <f t="shared" si="5"/>
        <v>1884</v>
      </c>
      <c r="P16" s="129">
        <f t="shared" si="5"/>
        <v>1884</v>
      </c>
      <c r="Q16" s="129">
        <f t="shared" si="5"/>
        <v>1884</v>
      </c>
      <c r="R16" s="129">
        <f t="shared" si="5"/>
        <v>1884</v>
      </c>
      <c r="S16" s="129">
        <f t="shared" si="5"/>
        <v>1884</v>
      </c>
      <c r="T16" s="129">
        <f t="shared" si="5"/>
        <v>1884</v>
      </c>
      <c r="U16" s="129">
        <f t="shared" si="5"/>
        <v>1884</v>
      </c>
      <c r="V16" s="129">
        <f t="shared" si="5"/>
        <v>1884</v>
      </c>
      <c r="W16" s="129">
        <f t="shared" si="5"/>
        <v>1884</v>
      </c>
      <c r="X16" s="129">
        <f t="shared" si="5"/>
        <v>1884</v>
      </c>
      <c r="Y16" s="129">
        <f t="shared" si="5"/>
        <v>1884</v>
      </c>
      <c r="Z16" s="129">
        <f t="shared" si="5"/>
        <v>1884</v>
      </c>
      <c r="AA16" s="129">
        <f t="shared" si="5"/>
        <v>1884</v>
      </c>
    </row>
    <row r="17" spans="1:27" x14ac:dyDescent="0.25">
      <c r="A17" s="8" t="s">
        <v>143</v>
      </c>
      <c r="B17" s="13">
        <v>25</v>
      </c>
      <c r="C17" s="129">
        <f>$C$9/25</f>
        <v>1030.3399999999999</v>
      </c>
      <c r="D17" s="129">
        <f t="shared" ref="D17:AA17" si="6">$C$9/25</f>
        <v>1030.3399999999999</v>
      </c>
      <c r="E17" s="129">
        <f t="shared" si="6"/>
        <v>1030.3399999999999</v>
      </c>
      <c r="F17" s="129">
        <f t="shared" si="6"/>
        <v>1030.3399999999999</v>
      </c>
      <c r="G17" s="129">
        <f t="shared" si="6"/>
        <v>1030.3399999999999</v>
      </c>
      <c r="H17" s="129">
        <f t="shared" si="6"/>
        <v>1030.3399999999999</v>
      </c>
      <c r="I17" s="129">
        <f t="shared" si="6"/>
        <v>1030.3399999999999</v>
      </c>
      <c r="J17" s="129">
        <f t="shared" si="6"/>
        <v>1030.3399999999999</v>
      </c>
      <c r="K17" s="129">
        <f t="shared" si="6"/>
        <v>1030.3399999999999</v>
      </c>
      <c r="L17" s="129">
        <f t="shared" si="6"/>
        <v>1030.3399999999999</v>
      </c>
      <c r="M17" s="129">
        <f t="shared" si="6"/>
        <v>1030.3399999999999</v>
      </c>
      <c r="N17" s="129">
        <f t="shared" si="6"/>
        <v>1030.3399999999999</v>
      </c>
      <c r="O17" s="129">
        <f t="shared" si="6"/>
        <v>1030.3399999999999</v>
      </c>
      <c r="P17" s="129">
        <f t="shared" si="6"/>
        <v>1030.3399999999999</v>
      </c>
      <c r="Q17" s="129">
        <f t="shared" si="6"/>
        <v>1030.3399999999999</v>
      </c>
      <c r="R17" s="129">
        <f t="shared" si="6"/>
        <v>1030.3399999999999</v>
      </c>
      <c r="S17" s="129">
        <f t="shared" si="6"/>
        <v>1030.3399999999999</v>
      </c>
      <c r="T17" s="129">
        <f t="shared" si="6"/>
        <v>1030.3399999999999</v>
      </c>
      <c r="U17" s="129">
        <f t="shared" si="6"/>
        <v>1030.3399999999999</v>
      </c>
      <c r="V17" s="129">
        <f t="shared" si="6"/>
        <v>1030.3399999999999</v>
      </c>
      <c r="W17" s="129">
        <f t="shared" si="6"/>
        <v>1030.3399999999999</v>
      </c>
      <c r="X17" s="129">
        <f t="shared" si="6"/>
        <v>1030.3399999999999</v>
      </c>
      <c r="Y17" s="129">
        <f t="shared" si="6"/>
        <v>1030.3399999999999</v>
      </c>
      <c r="Z17" s="129">
        <f t="shared" si="6"/>
        <v>1030.3399999999999</v>
      </c>
      <c r="AA17" s="129">
        <f t="shared" si="6"/>
        <v>1030.3399999999999</v>
      </c>
    </row>
    <row r="18" spans="1:27" ht="15.75" thickBot="1" x14ac:dyDescent="0.3">
      <c r="A18" s="9" t="s">
        <v>138</v>
      </c>
      <c r="B18" s="152" t="s">
        <v>137</v>
      </c>
      <c r="C18" s="129">
        <f>$C$10/5</f>
        <v>2000</v>
      </c>
      <c r="D18" s="129">
        <f t="shared" ref="D18:G18" si="7">$C$10/5</f>
        <v>2000</v>
      </c>
      <c r="E18" s="129">
        <f t="shared" si="7"/>
        <v>2000</v>
      </c>
      <c r="F18" s="129">
        <f t="shared" si="7"/>
        <v>2000</v>
      </c>
      <c r="G18" s="129">
        <f t="shared" si="7"/>
        <v>2000</v>
      </c>
      <c r="H18" s="128">
        <v>0</v>
      </c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51"/>
    </row>
    <row r="19" spans="1:27" s="2" customFormat="1" ht="15.75" thickBot="1" x14ac:dyDescent="0.3">
      <c r="A19" s="124" t="s">
        <v>3</v>
      </c>
      <c r="B19" s="125"/>
      <c r="C19" s="21">
        <f>SUM(C13:C18)</f>
        <v>13938.254000000001</v>
      </c>
      <c r="D19" s="22">
        <f t="shared" ref="D19:AA19" si="8">C19+D12</f>
        <v>27876.508000000002</v>
      </c>
      <c r="E19" s="22">
        <f t="shared" si="8"/>
        <v>41814.762000000002</v>
      </c>
      <c r="F19" s="22">
        <f t="shared" si="8"/>
        <v>55753.016000000003</v>
      </c>
      <c r="G19" s="22">
        <f t="shared" si="8"/>
        <v>69691.27</v>
      </c>
      <c r="H19" s="22">
        <f t="shared" si="8"/>
        <v>81629.524000000005</v>
      </c>
      <c r="I19" s="22">
        <f t="shared" si="8"/>
        <v>93567.778000000006</v>
      </c>
      <c r="J19" s="22">
        <f t="shared" si="8"/>
        <v>105506.03200000001</v>
      </c>
      <c r="K19" s="22">
        <f t="shared" si="8"/>
        <v>117444.28600000001</v>
      </c>
      <c r="L19" s="22">
        <f t="shared" si="8"/>
        <v>129382.54000000001</v>
      </c>
      <c r="M19" s="22">
        <f t="shared" si="8"/>
        <v>141320.79399999999</v>
      </c>
      <c r="N19" s="22">
        <f t="shared" si="8"/>
        <v>153259.04800000001</v>
      </c>
      <c r="O19" s="22">
        <f t="shared" si="8"/>
        <v>165197.30200000003</v>
      </c>
      <c r="P19" s="22">
        <f t="shared" si="8"/>
        <v>177135.55600000004</v>
      </c>
      <c r="Q19" s="22">
        <f t="shared" si="8"/>
        <v>189073.81000000006</v>
      </c>
      <c r="R19" s="22">
        <f t="shared" si="8"/>
        <v>201012.06400000007</v>
      </c>
      <c r="S19" s="22">
        <f t="shared" si="8"/>
        <v>212950.31800000009</v>
      </c>
      <c r="T19" s="22">
        <f t="shared" si="8"/>
        <v>224888.5720000001</v>
      </c>
      <c r="U19" s="22">
        <f t="shared" si="8"/>
        <v>236826.82600000012</v>
      </c>
      <c r="V19" s="22">
        <f t="shared" si="8"/>
        <v>248765.08000000013</v>
      </c>
      <c r="W19" s="22">
        <f t="shared" si="8"/>
        <v>260703.33400000015</v>
      </c>
      <c r="X19" s="22">
        <f t="shared" si="8"/>
        <v>272641.58800000016</v>
      </c>
      <c r="Y19" s="22">
        <f t="shared" si="8"/>
        <v>284579.84200000018</v>
      </c>
      <c r="Z19" s="22">
        <f t="shared" si="8"/>
        <v>296518.09600000019</v>
      </c>
      <c r="AA19" s="23">
        <f t="shared" si="8"/>
        <v>308456.35000000021</v>
      </c>
    </row>
    <row r="20" spans="1:27" thickBot="1" x14ac:dyDescent="0.35">
      <c r="A20" s="278"/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</row>
    <row r="21" spans="1:27" s="2" customFormat="1" thickBot="1" x14ac:dyDescent="0.35">
      <c r="A21" s="19" t="s">
        <v>4</v>
      </c>
      <c r="B21" s="20"/>
      <c r="C21" s="21">
        <f>$C$4-C19</f>
        <v>294518.09599999996</v>
      </c>
      <c r="D21" s="21">
        <f>$C$4-D19</f>
        <v>280579.84199999995</v>
      </c>
      <c r="E21" s="21">
        <f t="shared" ref="E21:AA21" si="9">$C$4-E19</f>
        <v>266641.58799999999</v>
      </c>
      <c r="F21" s="21">
        <f t="shared" si="9"/>
        <v>252703.33399999997</v>
      </c>
      <c r="G21" s="21">
        <f t="shared" si="9"/>
        <v>238765.07999999996</v>
      </c>
      <c r="H21" s="21">
        <f t="shared" si="9"/>
        <v>226826.82599999997</v>
      </c>
      <c r="I21" s="21">
        <f t="shared" si="9"/>
        <v>214888.57199999999</v>
      </c>
      <c r="J21" s="21">
        <f t="shared" si="9"/>
        <v>202950.31799999997</v>
      </c>
      <c r="K21" s="21">
        <f t="shared" si="9"/>
        <v>191012.06399999995</v>
      </c>
      <c r="L21" s="21">
        <f t="shared" si="9"/>
        <v>179073.80999999997</v>
      </c>
      <c r="M21" s="21">
        <f t="shared" si="9"/>
        <v>167135.55599999998</v>
      </c>
      <c r="N21" s="21">
        <f t="shared" si="9"/>
        <v>155197.30199999997</v>
      </c>
      <c r="O21" s="21">
        <f t="shared" si="9"/>
        <v>143259.04799999995</v>
      </c>
      <c r="P21" s="21">
        <f t="shared" si="9"/>
        <v>131320.79399999994</v>
      </c>
      <c r="Q21" s="21">
        <f t="shared" si="9"/>
        <v>119382.53999999992</v>
      </c>
      <c r="R21" s="21">
        <f t="shared" si="9"/>
        <v>107444.28599999991</v>
      </c>
      <c r="S21" s="21">
        <f t="shared" si="9"/>
        <v>95506.03199999989</v>
      </c>
      <c r="T21" s="21">
        <f t="shared" si="9"/>
        <v>83567.777999999875</v>
      </c>
      <c r="U21" s="21">
        <f t="shared" si="9"/>
        <v>71629.523999999859</v>
      </c>
      <c r="V21" s="21">
        <f t="shared" si="9"/>
        <v>59691.269999999844</v>
      </c>
      <c r="W21" s="21">
        <f t="shared" si="9"/>
        <v>47753.015999999829</v>
      </c>
      <c r="X21" s="21">
        <f t="shared" si="9"/>
        <v>35814.761999999813</v>
      </c>
      <c r="Y21" s="21">
        <f t="shared" si="9"/>
        <v>23876.507999999798</v>
      </c>
      <c r="Z21" s="21">
        <f t="shared" si="9"/>
        <v>11938.253999999783</v>
      </c>
      <c r="AA21" s="21">
        <f t="shared" si="9"/>
        <v>0</v>
      </c>
    </row>
    <row r="22" spans="1:27" ht="14.45" x14ac:dyDescent="0.3">
      <c r="A22" s="4"/>
    </row>
    <row r="23" spans="1:27" ht="14.45" x14ac:dyDescent="0.3">
      <c r="A23" s="4"/>
    </row>
    <row r="24" spans="1:27" ht="14.45" x14ac:dyDescent="0.3">
      <c r="A24" s="4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1:27" ht="14.45" x14ac:dyDescent="0.3">
      <c r="A25" s="4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1:27" ht="14.45" x14ac:dyDescent="0.3">
      <c r="A26" s="4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7" spans="1:27" ht="14.45" x14ac:dyDescent="0.3">
      <c r="A27" s="4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1:27" ht="14.45" x14ac:dyDescent="0.3">
      <c r="A28" s="4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</row>
    <row r="29" spans="1:27" ht="14.45" x14ac:dyDescent="0.3">
      <c r="A29" s="4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</row>
    <row r="30" spans="1:27" ht="14.45" x14ac:dyDescent="0.3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</row>
    <row r="31" spans="1:27" ht="14.45" x14ac:dyDescent="0.3"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</row>
    <row r="32" spans="1:27" ht="14.45" x14ac:dyDescent="0.3"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</row>
    <row r="33" spans="3:27" ht="14.45" x14ac:dyDescent="0.3"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62"/>
      <c r="T33" s="147"/>
      <c r="U33" s="147"/>
      <c r="V33" s="147"/>
      <c r="W33" s="147"/>
      <c r="X33" s="147"/>
      <c r="Y33" s="147"/>
      <c r="Z33" s="147"/>
      <c r="AA33" s="147"/>
    </row>
    <row r="34" spans="3:27" ht="14.45" x14ac:dyDescent="0.3">
      <c r="C34" s="147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62"/>
      <c r="T34" s="162"/>
      <c r="U34" s="162"/>
      <c r="V34" s="162"/>
      <c r="W34" s="162"/>
      <c r="X34" s="162"/>
      <c r="Y34" s="162"/>
      <c r="Z34" s="162"/>
      <c r="AA34" s="162"/>
    </row>
    <row r="35" spans="3:27" ht="14.45" x14ac:dyDescent="0.3"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</row>
  </sheetData>
  <mergeCells count="3">
    <mergeCell ref="A11:V11"/>
    <mergeCell ref="A20:V20"/>
    <mergeCell ref="A1:AA2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Z38"/>
  <sheetViews>
    <sheetView workbookViewId="0">
      <selection activeCell="A45" sqref="A45"/>
    </sheetView>
  </sheetViews>
  <sheetFormatPr defaultRowHeight="15" x14ac:dyDescent="0.25"/>
  <cols>
    <col min="1" max="1" width="39.140625" bestFit="1" customWidth="1"/>
    <col min="2" max="26" width="12.7109375" customWidth="1"/>
  </cols>
  <sheetData>
    <row r="1" spans="1:26" ht="15" customHeight="1" x14ac:dyDescent="0.25">
      <c r="A1" s="279" t="s">
        <v>62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1"/>
    </row>
    <row r="2" spans="1:26" ht="15" customHeight="1" x14ac:dyDescent="0.25">
      <c r="A2" s="282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4"/>
    </row>
    <row r="3" spans="1:26" ht="15.75" customHeight="1" thickBot="1" x14ac:dyDescent="0.3">
      <c r="A3" s="285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7"/>
    </row>
    <row r="4" spans="1:26" s="2" customFormat="1" ht="15.75" thickBot="1" x14ac:dyDescent="0.3">
      <c r="A4" s="57" t="s">
        <v>13</v>
      </c>
      <c r="B4" s="70">
        <v>2024</v>
      </c>
      <c r="C4" s="58">
        <v>2025</v>
      </c>
      <c r="D4" s="70">
        <v>2026</v>
      </c>
      <c r="E4" s="58">
        <v>2027</v>
      </c>
      <c r="F4" s="70">
        <v>2028</v>
      </c>
      <c r="G4" s="58">
        <v>2029</v>
      </c>
      <c r="H4" s="70">
        <v>2030</v>
      </c>
      <c r="I4" s="58">
        <v>2031</v>
      </c>
      <c r="J4" s="70">
        <v>2032</v>
      </c>
      <c r="K4" s="58">
        <v>2033</v>
      </c>
      <c r="L4" s="70">
        <v>2034</v>
      </c>
      <c r="M4" s="58">
        <v>2035</v>
      </c>
      <c r="N4" s="70">
        <v>2036</v>
      </c>
      <c r="O4" s="58">
        <v>2037</v>
      </c>
      <c r="P4" s="70">
        <v>2038</v>
      </c>
      <c r="Q4" s="58">
        <v>2039</v>
      </c>
      <c r="R4" s="70">
        <v>2040</v>
      </c>
      <c r="S4" s="58">
        <v>2041</v>
      </c>
      <c r="T4" s="70">
        <v>2042</v>
      </c>
      <c r="U4" s="58">
        <v>2043</v>
      </c>
      <c r="V4" s="70">
        <v>2044</v>
      </c>
      <c r="W4" s="58">
        <v>2045</v>
      </c>
      <c r="X4" s="70">
        <v>2046</v>
      </c>
      <c r="Y4" s="58">
        <v>2047</v>
      </c>
      <c r="Z4" s="70">
        <v>2048</v>
      </c>
    </row>
    <row r="5" spans="1:26" ht="14.45" customHeight="1" x14ac:dyDescent="0.25">
      <c r="A5" s="32" t="s">
        <v>144</v>
      </c>
      <c r="B5" s="50">
        <f>18000+30000</f>
        <v>48000</v>
      </c>
      <c r="C5" s="30">
        <f t="shared" ref="C5:V9" si="0">B5+(B5*1.5%)</f>
        <v>48720</v>
      </c>
      <c r="D5" s="30">
        <f t="shared" si="0"/>
        <v>49450.8</v>
      </c>
      <c r="E5" s="30">
        <f t="shared" si="0"/>
        <v>50192.562000000005</v>
      </c>
      <c r="F5" s="30">
        <f t="shared" si="0"/>
        <v>50945.450430000004</v>
      </c>
      <c r="G5" s="30">
        <f t="shared" si="0"/>
        <v>51709.632186450006</v>
      </c>
      <c r="H5" s="30">
        <f t="shared" si="0"/>
        <v>52485.276669246756</v>
      </c>
      <c r="I5" s="30">
        <f t="shared" si="0"/>
        <v>53272.555819285459</v>
      </c>
      <c r="J5" s="30">
        <f t="shared" si="0"/>
        <v>54071.644156574737</v>
      </c>
      <c r="K5" s="30">
        <f t="shared" si="0"/>
        <v>54882.718818923357</v>
      </c>
      <c r="L5" s="30">
        <f t="shared" si="0"/>
        <v>55705.959601207207</v>
      </c>
      <c r="M5" s="30">
        <f t="shared" si="0"/>
        <v>56541.548995225312</v>
      </c>
      <c r="N5" s="30">
        <f t="shared" si="0"/>
        <v>57389.672230153694</v>
      </c>
      <c r="O5" s="30">
        <f t="shared" si="0"/>
        <v>58250.517313605997</v>
      </c>
      <c r="P5" s="30">
        <f t="shared" si="0"/>
        <v>59124.275073310084</v>
      </c>
      <c r="Q5" s="30">
        <f t="shared" si="0"/>
        <v>60011.139199409736</v>
      </c>
      <c r="R5" s="30">
        <f t="shared" si="0"/>
        <v>60911.306287400883</v>
      </c>
      <c r="S5" s="30">
        <f t="shared" si="0"/>
        <v>61824.975881711893</v>
      </c>
      <c r="T5" s="30">
        <f t="shared" si="0"/>
        <v>62752.350519937572</v>
      </c>
      <c r="U5" s="30">
        <f t="shared" si="0"/>
        <v>63693.635777736636</v>
      </c>
      <c r="V5" s="30">
        <f t="shared" si="0"/>
        <v>64649.040314402686</v>
      </c>
      <c r="W5" s="30">
        <f t="shared" ref="W5:W9" si="1">V5+(V5*1.5%)</f>
        <v>65618.775919118722</v>
      </c>
      <c r="X5" s="30">
        <f t="shared" ref="X5:X9" si="2">W5+(W5*1.5%)</f>
        <v>66603.0575579055</v>
      </c>
      <c r="Y5" s="30">
        <f t="shared" ref="Y5:Z9" si="3">X5+(X5*1.5%)</f>
        <v>67602.103421274078</v>
      </c>
      <c r="Z5" s="35">
        <f t="shared" ref="Z5:Z7" si="4">Y5+(Y5*1.5%)</f>
        <v>68616.134972593194</v>
      </c>
    </row>
    <row r="6" spans="1:26" x14ac:dyDescent="0.25">
      <c r="A6" s="32" t="s">
        <v>145</v>
      </c>
      <c r="B6" s="50">
        <f>40800+15000</f>
        <v>55800</v>
      </c>
      <c r="C6" s="30">
        <f t="shared" si="0"/>
        <v>56637</v>
      </c>
      <c r="D6" s="30">
        <f t="shared" ref="D6:V9" si="5">C6+(C6*1.5%)</f>
        <v>57486.555</v>
      </c>
      <c r="E6" s="30">
        <f t="shared" si="5"/>
        <v>58348.853325000004</v>
      </c>
      <c r="F6" s="30">
        <f t="shared" si="5"/>
        <v>59224.086124875001</v>
      </c>
      <c r="G6" s="30">
        <f t="shared" si="5"/>
        <v>60112.447416748124</v>
      </c>
      <c r="H6" s="30">
        <f t="shared" si="5"/>
        <v>61014.134127999343</v>
      </c>
      <c r="I6" s="30">
        <f t="shared" si="5"/>
        <v>61929.346139919333</v>
      </c>
      <c r="J6" s="30">
        <f t="shared" si="5"/>
        <v>62858.28633201812</v>
      </c>
      <c r="K6" s="30">
        <f t="shared" si="5"/>
        <v>63801.160626998389</v>
      </c>
      <c r="L6" s="30">
        <f t="shared" si="5"/>
        <v>64758.178036403362</v>
      </c>
      <c r="M6" s="30">
        <f t="shared" si="5"/>
        <v>65729.550706949405</v>
      </c>
      <c r="N6" s="30">
        <f t="shared" si="5"/>
        <v>66715.493967553644</v>
      </c>
      <c r="O6" s="30">
        <f t="shared" si="5"/>
        <v>67716.226377066952</v>
      </c>
      <c r="P6" s="30">
        <f t="shared" si="5"/>
        <v>68731.96977272295</v>
      </c>
      <c r="Q6" s="30">
        <f t="shared" si="5"/>
        <v>69762.94931931379</v>
      </c>
      <c r="R6" s="30">
        <f t="shared" si="5"/>
        <v>70809.393559103497</v>
      </c>
      <c r="S6" s="30">
        <f t="shared" si="5"/>
        <v>71871.534462490046</v>
      </c>
      <c r="T6" s="30">
        <f t="shared" si="5"/>
        <v>72949.607479427403</v>
      </c>
      <c r="U6" s="30">
        <f t="shared" si="5"/>
        <v>74043.851591618819</v>
      </c>
      <c r="V6" s="30">
        <f t="shared" si="5"/>
        <v>75154.509365493097</v>
      </c>
      <c r="W6" s="30">
        <f t="shared" si="1"/>
        <v>76281.827005975487</v>
      </c>
      <c r="X6" s="30">
        <f t="shared" si="2"/>
        <v>77426.054411065124</v>
      </c>
      <c r="Y6" s="30">
        <f t="shared" si="3"/>
        <v>78587.445227231103</v>
      </c>
      <c r="Z6" s="35">
        <f t="shared" si="4"/>
        <v>79766.256905639573</v>
      </c>
    </row>
    <row r="7" spans="1:26" ht="14.45" customHeight="1" x14ac:dyDescent="0.25">
      <c r="A7" s="32" t="s">
        <v>146</v>
      </c>
      <c r="B7" s="50">
        <f>51000+25000</f>
        <v>76000</v>
      </c>
      <c r="C7" s="30">
        <f t="shared" si="0"/>
        <v>77140</v>
      </c>
      <c r="D7" s="30">
        <f t="shared" si="5"/>
        <v>78297.100000000006</v>
      </c>
      <c r="E7" s="30">
        <f t="shared" si="5"/>
        <v>79471.556500000006</v>
      </c>
      <c r="F7" s="30">
        <f t="shared" si="5"/>
        <v>80663.629847500008</v>
      </c>
      <c r="G7" s="30">
        <f t="shared" si="5"/>
        <v>81873.584295212509</v>
      </c>
      <c r="H7" s="30">
        <f t="shared" si="5"/>
        <v>83101.688059640699</v>
      </c>
      <c r="I7" s="30">
        <f t="shared" si="5"/>
        <v>84348.213380535308</v>
      </c>
      <c r="J7" s="30">
        <f t="shared" si="5"/>
        <v>85613.436581243339</v>
      </c>
      <c r="K7" s="30">
        <f t="shared" si="5"/>
        <v>86897.638129961982</v>
      </c>
      <c r="L7" s="30">
        <f t="shared" si="5"/>
        <v>88201.102701911412</v>
      </c>
      <c r="M7" s="30">
        <f t="shared" si="5"/>
        <v>89524.11924244008</v>
      </c>
      <c r="N7" s="30">
        <f t="shared" si="5"/>
        <v>90866.981031076677</v>
      </c>
      <c r="O7" s="30">
        <f t="shared" si="5"/>
        <v>92229.985746542821</v>
      </c>
      <c r="P7" s="30">
        <f t="shared" si="5"/>
        <v>93613.435532740958</v>
      </c>
      <c r="Q7" s="30">
        <f t="shared" si="5"/>
        <v>95017.637065732066</v>
      </c>
      <c r="R7" s="30">
        <f t="shared" si="5"/>
        <v>96442.901621718047</v>
      </c>
      <c r="S7" s="30">
        <f t="shared" si="5"/>
        <v>97889.54514604382</v>
      </c>
      <c r="T7" s="30">
        <f t="shared" si="5"/>
        <v>99357.888323234482</v>
      </c>
      <c r="U7" s="30">
        <f t="shared" si="5"/>
        <v>100848.256648083</v>
      </c>
      <c r="V7" s="30">
        <f t="shared" si="5"/>
        <v>102360.98049780424</v>
      </c>
      <c r="W7" s="30">
        <f t="shared" si="1"/>
        <v>103896.3952052713</v>
      </c>
      <c r="X7" s="30">
        <f t="shared" si="2"/>
        <v>105454.84113335038</v>
      </c>
      <c r="Y7" s="30">
        <f t="shared" si="3"/>
        <v>107036.66375035064</v>
      </c>
      <c r="Z7" s="35">
        <f t="shared" si="4"/>
        <v>108642.21370660589</v>
      </c>
    </row>
    <row r="8" spans="1:26" ht="14.45" customHeight="1" x14ac:dyDescent="0.25">
      <c r="A8" s="32" t="s">
        <v>147</v>
      </c>
      <c r="B8" s="50">
        <f>165000+35000</f>
        <v>200000</v>
      </c>
      <c r="C8" s="30">
        <f t="shared" si="0"/>
        <v>203000</v>
      </c>
      <c r="D8" s="30">
        <f>C8+(C8*1.5%)</f>
        <v>206045</v>
      </c>
      <c r="E8" s="30">
        <f t="shared" si="5"/>
        <v>209135.67499999999</v>
      </c>
      <c r="F8" s="30">
        <f t="shared" ref="F8:F9" si="6">E8+(E8*1.5%)</f>
        <v>212272.71012499998</v>
      </c>
      <c r="G8" s="30">
        <f t="shared" ref="G8:G9" si="7">F8+(F8*1.5%)</f>
        <v>215456.800776875</v>
      </c>
      <c r="H8" s="30">
        <f t="shared" ref="H8:H9" si="8">G8+(G8*1.5%)</f>
        <v>218688.65278852812</v>
      </c>
      <c r="I8" s="30">
        <f t="shared" si="5"/>
        <v>221968.98258035604</v>
      </c>
      <c r="J8" s="30">
        <f t="shared" si="5"/>
        <v>225298.51731906139</v>
      </c>
      <c r="K8" s="30">
        <f t="shared" si="5"/>
        <v>228677.99507884731</v>
      </c>
      <c r="L8" s="30">
        <f t="shared" ref="L8:L9" si="9">K8+(K8*1.5%)</f>
        <v>232108.16500503002</v>
      </c>
      <c r="M8" s="30">
        <f t="shared" ref="M8:M9" si="10">L8+(L8*1.5%)</f>
        <v>235589.78748010547</v>
      </c>
      <c r="N8" s="30">
        <f t="shared" si="5"/>
        <v>239123.63429230705</v>
      </c>
      <c r="O8" s="30">
        <f t="shared" si="5"/>
        <v>242710.48880669166</v>
      </c>
      <c r="P8" s="30">
        <f t="shared" si="5"/>
        <v>246351.14613879204</v>
      </c>
      <c r="Q8" s="30">
        <f t="shared" si="5"/>
        <v>250046.41333087391</v>
      </c>
      <c r="R8" s="30">
        <f t="shared" ref="R8:R9" si="11">Q8+(Q8*1.5%)</f>
        <v>253797.10953083701</v>
      </c>
      <c r="S8" s="30">
        <f t="shared" ref="S8:S9" si="12">R8+(R8*1.5%)</f>
        <v>257604.06617379957</v>
      </c>
      <c r="T8" s="30">
        <f t="shared" ref="T8:T9" si="13">S8+(S8*1.5%)</f>
        <v>261468.12716640657</v>
      </c>
      <c r="U8" s="30">
        <f t="shared" si="5"/>
        <v>265390.14907390269</v>
      </c>
      <c r="V8" s="30">
        <f t="shared" si="5"/>
        <v>269371.00131001126</v>
      </c>
      <c r="W8" s="30">
        <f t="shared" si="1"/>
        <v>273411.56632966141</v>
      </c>
      <c r="X8" s="30">
        <f t="shared" si="2"/>
        <v>277512.73982460634</v>
      </c>
      <c r="Y8" s="30">
        <f t="shared" si="3"/>
        <v>281675.43092197541</v>
      </c>
      <c r="Z8" s="30">
        <f t="shared" si="3"/>
        <v>285900.56238580501</v>
      </c>
    </row>
    <row r="9" spans="1:26" ht="14.45" customHeight="1" x14ac:dyDescent="0.25">
      <c r="A9" s="32" t="s">
        <v>148</v>
      </c>
      <c r="B9" s="50">
        <f>37000+15000</f>
        <v>52000</v>
      </c>
      <c r="C9" s="30">
        <f t="shared" si="0"/>
        <v>52780</v>
      </c>
      <c r="D9" s="30">
        <f>C9+(C9*1.5%)</f>
        <v>53571.7</v>
      </c>
      <c r="E9" s="30">
        <f t="shared" si="5"/>
        <v>54375.275499999996</v>
      </c>
      <c r="F9" s="30">
        <f t="shared" si="6"/>
        <v>55190.904632499994</v>
      </c>
      <c r="G9" s="30">
        <f t="shared" si="7"/>
        <v>56018.768201987492</v>
      </c>
      <c r="H9" s="30">
        <f t="shared" si="8"/>
        <v>56859.049725017307</v>
      </c>
      <c r="I9" s="30">
        <f t="shared" si="5"/>
        <v>57711.935470892568</v>
      </c>
      <c r="J9" s="30">
        <f t="shared" si="5"/>
        <v>58577.614502955956</v>
      </c>
      <c r="K9" s="30">
        <f t="shared" si="5"/>
        <v>59456.278720500297</v>
      </c>
      <c r="L9" s="30">
        <f t="shared" si="9"/>
        <v>60348.122901307805</v>
      </c>
      <c r="M9" s="30">
        <f t="shared" si="10"/>
        <v>61253.344744827424</v>
      </c>
      <c r="N9" s="30">
        <f t="shared" si="5"/>
        <v>62172.144915999837</v>
      </c>
      <c r="O9" s="30">
        <f t="shared" si="5"/>
        <v>63104.727089739834</v>
      </c>
      <c r="P9" s="30">
        <f t="shared" si="5"/>
        <v>64051.29799608593</v>
      </c>
      <c r="Q9" s="30">
        <f t="shared" si="5"/>
        <v>65012.06746602722</v>
      </c>
      <c r="R9" s="30">
        <f t="shared" si="11"/>
        <v>65987.248478017631</v>
      </c>
      <c r="S9" s="30">
        <f t="shared" si="12"/>
        <v>66977.057205187899</v>
      </c>
      <c r="T9" s="30">
        <f t="shared" si="13"/>
        <v>67981.713063265721</v>
      </c>
      <c r="U9" s="30">
        <f t="shared" si="5"/>
        <v>69001.43875921471</v>
      </c>
      <c r="V9" s="30">
        <f t="shared" si="5"/>
        <v>70036.460340602935</v>
      </c>
      <c r="W9" s="30">
        <f t="shared" si="1"/>
        <v>71087.007245711982</v>
      </c>
      <c r="X9" s="30">
        <f t="shared" si="2"/>
        <v>72153.312354397669</v>
      </c>
      <c r="Y9" s="30">
        <f t="shared" si="3"/>
        <v>73235.61203971364</v>
      </c>
      <c r="Z9" s="30">
        <f t="shared" si="3"/>
        <v>74334.14622030934</v>
      </c>
    </row>
    <row r="10" spans="1:26" s="2" customFormat="1" x14ac:dyDescent="0.25">
      <c r="A10" s="33" t="s">
        <v>5</v>
      </c>
      <c r="B10" s="51">
        <f t="shared" ref="B10:Z10" si="14">SUM(B5:B9)</f>
        <v>431800</v>
      </c>
      <c r="C10" s="31">
        <f t="shared" si="14"/>
        <v>438277</v>
      </c>
      <c r="D10" s="31">
        <f t="shared" si="14"/>
        <v>444851.15500000003</v>
      </c>
      <c r="E10" s="31">
        <f t="shared" si="14"/>
        <v>451523.92232499999</v>
      </c>
      <c r="F10" s="31">
        <f t="shared" si="14"/>
        <v>458296.78115987498</v>
      </c>
      <c r="G10" s="31">
        <f t="shared" si="14"/>
        <v>465171.23287727311</v>
      </c>
      <c r="H10" s="31">
        <f t="shared" si="14"/>
        <v>472148.80137043225</v>
      </c>
      <c r="I10" s="31">
        <f t="shared" si="14"/>
        <v>479231.03339098871</v>
      </c>
      <c r="J10" s="31">
        <f t="shared" si="14"/>
        <v>486419.49889185349</v>
      </c>
      <c r="K10" s="31">
        <f t="shared" si="14"/>
        <v>493715.79137523135</v>
      </c>
      <c r="L10" s="31">
        <f t="shared" si="14"/>
        <v>501121.52824585984</v>
      </c>
      <c r="M10" s="31">
        <f t="shared" si="14"/>
        <v>508638.35116954771</v>
      </c>
      <c r="N10" s="31">
        <f t="shared" si="14"/>
        <v>516267.92643709091</v>
      </c>
      <c r="O10" s="31">
        <f t="shared" si="14"/>
        <v>524011.94533364725</v>
      </c>
      <c r="P10" s="31">
        <f t="shared" si="14"/>
        <v>531872.12451365194</v>
      </c>
      <c r="Q10" s="31">
        <f t="shared" si="14"/>
        <v>539850.20638135669</v>
      </c>
      <c r="R10" s="31">
        <f t="shared" si="14"/>
        <v>547947.95947707701</v>
      </c>
      <c r="S10" s="31">
        <f t="shared" si="14"/>
        <v>556167.17886923323</v>
      </c>
      <c r="T10" s="31">
        <f t="shared" si="14"/>
        <v>564509.68655227171</v>
      </c>
      <c r="U10" s="31">
        <f t="shared" si="14"/>
        <v>572977.33185055584</v>
      </c>
      <c r="V10" s="31">
        <f t="shared" si="14"/>
        <v>581571.99182831415</v>
      </c>
      <c r="W10" s="31">
        <f t="shared" si="14"/>
        <v>590295.5717057389</v>
      </c>
      <c r="X10" s="31">
        <f t="shared" si="14"/>
        <v>599150.00528132496</v>
      </c>
      <c r="Y10" s="31">
        <f t="shared" si="14"/>
        <v>608137.25536054489</v>
      </c>
      <c r="Z10" s="36">
        <f t="shared" si="14"/>
        <v>617259.31419095292</v>
      </c>
    </row>
    <row r="11" spans="1:26" ht="2.1" customHeight="1" thickBot="1" x14ac:dyDescent="0.35">
      <c r="A11" s="39"/>
      <c r="B11" s="135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132"/>
      <c r="V11" s="132"/>
      <c r="W11" s="132"/>
      <c r="X11" s="132"/>
      <c r="Y11" s="132"/>
      <c r="Z11" s="117"/>
    </row>
    <row r="12" spans="1:26" ht="14.45" x14ac:dyDescent="0.3">
      <c r="A12" s="32" t="s">
        <v>64</v>
      </c>
      <c r="B12" s="118">
        <f>48000-5000</f>
        <v>43000</v>
      </c>
      <c r="C12" s="119">
        <f>B12+(B12*1.5%)</f>
        <v>43645</v>
      </c>
      <c r="D12" s="119">
        <f t="shared" ref="D12:K12" si="15">C12+(C12*1.5%)</f>
        <v>44299.675000000003</v>
      </c>
      <c r="E12" s="119">
        <f t="shared" si="15"/>
        <v>44964.170125000004</v>
      </c>
      <c r="F12" s="119">
        <f>E12+(E12*1.5%)</f>
        <v>45638.632676875008</v>
      </c>
      <c r="G12" s="119">
        <f t="shared" si="15"/>
        <v>46323.212167028134</v>
      </c>
      <c r="H12" s="119">
        <f t="shared" si="15"/>
        <v>47018.060349533553</v>
      </c>
      <c r="I12" s="119">
        <f t="shared" si="15"/>
        <v>47723.331254776553</v>
      </c>
      <c r="J12" s="119">
        <f t="shared" si="15"/>
        <v>48439.1812235982</v>
      </c>
      <c r="K12" s="119">
        <f t="shared" si="15"/>
        <v>49165.76894195217</v>
      </c>
      <c r="L12" s="119">
        <f t="shared" ref="L12:M12" si="16">K12+(K12*1.5%)</f>
        <v>49903.255476081453</v>
      </c>
      <c r="M12" s="119">
        <f t="shared" si="16"/>
        <v>50651.804308222672</v>
      </c>
      <c r="N12" s="119">
        <f t="shared" ref="N12:V12" si="17">M12+(M12*1.5%)</f>
        <v>51411.581372846013</v>
      </c>
      <c r="O12" s="119">
        <f t="shared" si="17"/>
        <v>52182.755093438704</v>
      </c>
      <c r="P12" s="119">
        <f t="shared" si="17"/>
        <v>52965.496419840281</v>
      </c>
      <c r="Q12" s="119">
        <f t="shared" si="17"/>
        <v>53759.978866137884</v>
      </c>
      <c r="R12" s="119">
        <f t="shared" si="17"/>
        <v>54566.37854912995</v>
      </c>
      <c r="S12" s="119">
        <f t="shared" si="17"/>
        <v>55384.874227366898</v>
      </c>
      <c r="T12" s="119">
        <f t="shared" si="17"/>
        <v>56215.647340777403</v>
      </c>
      <c r="U12" s="119">
        <f t="shared" si="17"/>
        <v>57058.882050889064</v>
      </c>
      <c r="V12" s="119">
        <f t="shared" si="17"/>
        <v>57914.765281652399</v>
      </c>
      <c r="W12" s="119">
        <f t="shared" ref="W12:W17" si="18">V12+(V12*1.5%)</f>
        <v>58783.486760877182</v>
      </c>
      <c r="X12" s="119">
        <f t="shared" ref="X12:X17" si="19">W12+(W12*1.5%)</f>
        <v>59665.23906229034</v>
      </c>
      <c r="Y12" s="119">
        <f t="shared" ref="Y12:Z17" si="20">X12+(X12*1.5%)</f>
        <v>60560.217648224694</v>
      </c>
      <c r="Z12" s="120">
        <f t="shared" ref="Z12:Z15" si="21">Y12+(Y12*1.5%)</f>
        <v>61468.620912948063</v>
      </c>
    </row>
    <row r="13" spans="1:26" ht="14.45" x14ac:dyDescent="0.3">
      <c r="A13" s="32" t="s">
        <v>65</v>
      </c>
      <c r="B13" s="144">
        <v>150000</v>
      </c>
      <c r="C13" s="145">
        <f t="shared" ref="C13:M17" si="22">B13+(B13*1.5%)</f>
        <v>152250</v>
      </c>
      <c r="D13" s="145">
        <f t="shared" si="22"/>
        <v>154533.75</v>
      </c>
      <c r="E13" s="145">
        <f t="shared" si="22"/>
        <v>156851.75625000001</v>
      </c>
      <c r="F13" s="145">
        <f>E13+(E13*1.5%)</f>
        <v>159204.53259375002</v>
      </c>
      <c r="G13" s="145">
        <f t="shared" si="22"/>
        <v>161592.60058265628</v>
      </c>
      <c r="H13" s="145">
        <f t="shared" si="22"/>
        <v>164016.48959139612</v>
      </c>
      <c r="I13" s="145">
        <f t="shared" si="22"/>
        <v>166476.73693526705</v>
      </c>
      <c r="J13" s="145">
        <f t="shared" si="22"/>
        <v>168973.88798929605</v>
      </c>
      <c r="K13" s="145">
        <f t="shared" si="22"/>
        <v>171508.49630913549</v>
      </c>
      <c r="L13" s="145">
        <f t="shared" ref="L13:M13" si="23">K13+(K13*1.5%)</f>
        <v>174081.12375377252</v>
      </c>
      <c r="M13" s="145">
        <f t="shared" si="23"/>
        <v>176692.34061007912</v>
      </c>
      <c r="N13" s="145">
        <f t="shared" ref="N13:V13" si="24">M13+(M13*1.5%)</f>
        <v>179342.72571923031</v>
      </c>
      <c r="O13" s="145">
        <f t="shared" si="24"/>
        <v>182032.86660501876</v>
      </c>
      <c r="P13" s="145">
        <f t="shared" si="24"/>
        <v>184763.35960409403</v>
      </c>
      <c r="Q13" s="145">
        <f t="shared" si="24"/>
        <v>187534.80999815546</v>
      </c>
      <c r="R13" s="145">
        <f t="shared" si="24"/>
        <v>190347.83214812778</v>
      </c>
      <c r="S13" s="145">
        <f t="shared" si="24"/>
        <v>193203.04963034971</v>
      </c>
      <c r="T13" s="145">
        <f t="shared" si="24"/>
        <v>196101.09537480495</v>
      </c>
      <c r="U13" s="145">
        <f t="shared" si="24"/>
        <v>199042.61180542703</v>
      </c>
      <c r="V13" s="145">
        <f t="shared" si="24"/>
        <v>202028.25098250844</v>
      </c>
      <c r="W13" s="145">
        <f t="shared" si="18"/>
        <v>205058.67474724606</v>
      </c>
      <c r="X13" s="145">
        <f t="shared" si="19"/>
        <v>208134.55486845475</v>
      </c>
      <c r="Y13" s="145">
        <f t="shared" si="20"/>
        <v>211256.57319148158</v>
      </c>
      <c r="Z13" s="146">
        <f t="shared" si="21"/>
        <v>214425.4217893538</v>
      </c>
    </row>
    <row r="14" spans="1:26" ht="14.45" x14ac:dyDescent="0.3">
      <c r="A14" s="32" t="s">
        <v>66</v>
      </c>
      <c r="B14" s="144">
        <f>85000+15000</f>
        <v>100000</v>
      </c>
      <c r="C14" s="145">
        <f t="shared" si="22"/>
        <v>101500</v>
      </c>
      <c r="D14" s="145">
        <f t="shared" si="22"/>
        <v>103022.5</v>
      </c>
      <c r="E14" s="145">
        <f t="shared" si="22"/>
        <v>104567.83749999999</v>
      </c>
      <c r="F14" s="145">
        <f t="shared" si="22"/>
        <v>106136.35506249999</v>
      </c>
      <c r="G14" s="145">
        <f t="shared" si="22"/>
        <v>107728.4003884375</v>
      </c>
      <c r="H14" s="145">
        <f t="shared" si="22"/>
        <v>109344.32639426406</v>
      </c>
      <c r="I14" s="145">
        <f t="shared" si="22"/>
        <v>110984.49129017802</v>
      </c>
      <c r="J14" s="145">
        <f t="shared" si="22"/>
        <v>112649.25865953069</v>
      </c>
      <c r="K14" s="145">
        <f t="shared" si="22"/>
        <v>114338.99753942365</v>
      </c>
      <c r="L14" s="145">
        <f t="shared" ref="L14:M15" si="25">K14+(K14*1.5%)</f>
        <v>116054.08250251501</v>
      </c>
      <c r="M14" s="145">
        <f t="shared" si="25"/>
        <v>117794.89374005274</v>
      </c>
      <c r="N14" s="145">
        <f t="shared" ref="N14:V17" si="26">M14+(M14*1.5%)</f>
        <v>119561.81714615352</v>
      </c>
      <c r="O14" s="145">
        <f t="shared" si="26"/>
        <v>121355.24440334583</v>
      </c>
      <c r="P14" s="145">
        <f t="shared" si="26"/>
        <v>123175.57306939602</v>
      </c>
      <c r="Q14" s="145">
        <f t="shared" si="26"/>
        <v>125023.20666543696</v>
      </c>
      <c r="R14" s="145">
        <f t="shared" si="26"/>
        <v>126898.55476541851</v>
      </c>
      <c r="S14" s="145">
        <f t="shared" si="26"/>
        <v>128802.03308689978</v>
      </c>
      <c r="T14" s="145">
        <f t="shared" si="26"/>
        <v>130734.06358320329</v>
      </c>
      <c r="U14" s="145">
        <f t="shared" si="26"/>
        <v>132695.07453695135</v>
      </c>
      <c r="V14" s="145">
        <f t="shared" si="26"/>
        <v>134685.50065500563</v>
      </c>
      <c r="W14" s="145">
        <f t="shared" si="18"/>
        <v>136705.7831648307</v>
      </c>
      <c r="X14" s="145">
        <f t="shared" si="19"/>
        <v>138756.36991230317</v>
      </c>
      <c r="Y14" s="145">
        <f t="shared" si="20"/>
        <v>140837.7154609877</v>
      </c>
      <c r="Z14" s="146">
        <f t="shared" si="21"/>
        <v>142950.2811929025</v>
      </c>
    </row>
    <row r="15" spans="1:26" ht="14.45" x14ac:dyDescent="0.3">
      <c r="A15" s="32" t="s">
        <v>149</v>
      </c>
      <c r="B15" s="144">
        <f>80000-15000</f>
        <v>65000</v>
      </c>
      <c r="C15" s="145">
        <f t="shared" si="22"/>
        <v>65975</v>
      </c>
      <c r="D15" s="145">
        <f t="shared" ref="D15" si="27">C15+(C15*1.5%)</f>
        <v>66964.625</v>
      </c>
      <c r="E15" s="145">
        <f t="shared" ref="E15" si="28">D15+(D15*1.5%)</f>
        <v>67969.094375000001</v>
      </c>
      <c r="F15" s="145">
        <f t="shared" ref="F15" si="29">E15+(E15*1.5%)</f>
        <v>68988.630790625</v>
      </c>
      <c r="G15" s="145">
        <f t="shared" ref="G15" si="30">F15+(F15*1.5%)</f>
        <v>70023.460252484379</v>
      </c>
      <c r="H15" s="145">
        <f t="shared" ref="H15" si="31">G15+(G15*1.5%)</f>
        <v>71073.812156271641</v>
      </c>
      <c r="I15" s="145">
        <f t="shared" ref="I15" si="32">H15+(H15*1.5%)</f>
        <v>72139.919338615713</v>
      </c>
      <c r="J15" s="145">
        <f t="shared" ref="J15" si="33">I15+(I15*1.5%)</f>
        <v>73222.018128694952</v>
      </c>
      <c r="K15" s="145">
        <f t="shared" ref="K15" si="34">J15+(J15*1.5%)</f>
        <v>74320.348400625371</v>
      </c>
      <c r="L15" s="145">
        <f t="shared" si="25"/>
        <v>75435.153626634754</v>
      </c>
      <c r="M15" s="145">
        <f t="shared" si="25"/>
        <v>76566.68093103428</v>
      </c>
      <c r="N15" s="145">
        <f t="shared" si="26"/>
        <v>77715.181144999791</v>
      </c>
      <c r="O15" s="145">
        <f t="shared" si="26"/>
        <v>78880.908862174794</v>
      </c>
      <c r="P15" s="145">
        <f t="shared" si="26"/>
        <v>80064.122495107411</v>
      </c>
      <c r="Q15" s="145">
        <f t="shared" si="26"/>
        <v>81265.084332534025</v>
      </c>
      <c r="R15" s="145">
        <f t="shared" si="26"/>
        <v>82484.060597522039</v>
      </c>
      <c r="S15" s="145">
        <f t="shared" si="26"/>
        <v>83721.321506484863</v>
      </c>
      <c r="T15" s="145">
        <f t="shared" si="26"/>
        <v>84977.141329082137</v>
      </c>
      <c r="U15" s="145">
        <f t="shared" si="26"/>
        <v>86251.798449018374</v>
      </c>
      <c r="V15" s="145">
        <f t="shared" si="26"/>
        <v>87545.575425753646</v>
      </c>
      <c r="W15" s="145">
        <f t="shared" si="18"/>
        <v>88858.759057139949</v>
      </c>
      <c r="X15" s="145">
        <f t="shared" si="19"/>
        <v>90191.640442997043</v>
      </c>
      <c r="Y15" s="145">
        <f t="shared" si="20"/>
        <v>91544.515049641996</v>
      </c>
      <c r="Z15" s="145">
        <f t="shared" si="21"/>
        <v>92917.682775386624</v>
      </c>
    </row>
    <row r="16" spans="1:26" ht="14.45" x14ac:dyDescent="0.3">
      <c r="A16" s="32" t="s">
        <v>67</v>
      </c>
      <c r="B16" s="50">
        <v>15000</v>
      </c>
      <c r="C16" s="145">
        <f t="shared" si="22"/>
        <v>15225</v>
      </c>
      <c r="D16" s="30">
        <f t="shared" si="22"/>
        <v>15453.375</v>
      </c>
      <c r="E16" s="30">
        <f t="shared" si="22"/>
        <v>15685.175625</v>
      </c>
      <c r="F16" s="30">
        <f t="shared" si="22"/>
        <v>15920.453259374999</v>
      </c>
      <c r="G16" s="30">
        <f t="shared" ref="G16" si="35">F16+(F16*1.5%)</f>
        <v>16159.260058265623</v>
      </c>
      <c r="H16" s="30">
        <f t="shared" ref="H16" si="36">G16+(G16*1.5%)</f>
        <v>16401.648959139609</v>
      </c>
      <c r="I16" s="30">
        <f t="shared" ref="I16" si="37">H16+(H16*1.5%)</f>
        <v>16647.673693526704</v>
      </c>
      <c r="J16" s="30">
        <f t="shared" si="22"/>
        <v>16897.388798929605</v>
      </c>
      <c r="K16" s="30">
        <f t="shared" si="22"/>
        <v>17150.849630913548</v>
      </c>
      <c r="L16" s="30">
        <f t="shared" si="22"/>
        <v>17408.112375377252</v>
      </c>
      <c r="M16" s="30">
        <f t="shared" si="22"/>
        <v>17669.234061007912</v>
      </c>
      <c r="N16" s="30">
        <f t="shared" ref="N16:V17" si="38">M16+(M16*1.5%)</f>
        <v>17934.272571923029</v>
      </c>
      <c r="O16" s="30">
        <f t="shared" si="38"/>
        <v>18203.286660501875</v>
      </c>
      <c r="P16" s="30">
        <f t="shared" si="38"/>
        <v>18476.335960409404</v>
      </c>
      <c r="Q16" s="30">
        <f t="shared" si="38"/>
        <v>18753.480999815543</v>
      </c>
      <c r="R16" s="30">
        <f t="shared" ref="R16" si="39">Q16+(Q16*1.5%)</f>
        <v>19034.783214812778</v>
      </c>
      <c r="S16" s="30">
        <f t="shared" si="26"/>
        <v>19320.304963034971</v>
      </c>
      <c r="T16" s="30">
        <f t="shared" si="26"/>
        <v>19610.109537480494</v>
      </c>
      <c r="U16" s="30">
        <f t="shared" si="26"/>
        <v>19904.2611805427</v>
      </c>
      <c r="V16" s="30">
        <f t="shared" si="38"/>
        <v>20202.82509825084</v>
      </c>
      <c r="W16" s="30">
        <f t="shared" si="18"/>
        <v>20505.867474724604</v>
      </c>
      <c r="X16" s="30">
        <f t="shared" si="19"/>
        <v>20813.455486845472</v>
      </c>
      <c r="Y16" s="30">
        <f t="shared" si="20"/>
        <v>21125.657319148155</v>
      </c>
      <c r="Z16" s="30">
        <f t="shared" si="20"/>
        <v>21442.542178935379</v>
      </c>
    </row>
    <row r="17" spans="1:26" ht="14.45" x14ac:dyDescent="0.3">
      <c r="A17" s="32" t="s">
        <v>71</v>
      </c>
      <c r="B17" s="50">
        <v>28850</v>
      </c>
      <c r="C17" s="130">
        <f>B17+(B17*1.5%)</f>
        <v>29282.75</v>
      </c>
      <c r="D17" s="130">
        <f t="shared" si="22"/>
        <v>29721.991249999999</v>
      </c>
      <c r="E17" s="130">
        <f t="shared" si="22"/>
        <v>30167.821118749998</v>
      </c>
      <c r="F17" s="130">
        <f t="shared" si="22"/>
        <v>30620.338435531248</v>
      </c>
      <c r="G17" s="130">
        <f t="shared" si="22"/>
        <v>31079.643512064216</v>
      </c>
      <c r="H17" s="130">
        <f t="shared" si="22"/>
        <v>31545.838164745179</v>
      </c>
      <c r="I17" s="130">
        <f t="shared" si="22"/>
        <v>32019.025737216358</v>
      </c>
      <c r="J17" s="130">
        <f t="shared" si="22"/>
        <v>32499.311123274601</v>
      </c>
      <c r="K17" s="130">
        <f t="shared" si="22"/>
        <v>32986.800790123722</v>
      </c>
      <c r="L17" s="130">
        <f t="shared" si="22"/>
        <v>33481.602801975576</v>
      </c>
      <c r="M17" s="130">
        <f t="shared" si="22"/>
        <v>33983.826844005212</v>
      </c>
      <c r="N17" s="130">
        <f t="shared" si="38"/>
        <v>34493.58424666529</v>
      </c>
      <c r="O17" s="130">
        <f t="shared" si="38"/>
        <v>35010.988010365269</v>
      </c>
      <c r="P17" s="130">
        <f t="shared" si="38"/>
        <v>35536.152830520747</v>
      </c>
      <c r="Q17" s="130">
        <f t="shared" si="38"/>
        <v>36069.195122978555</v>
      </c>
      <c r="R17" s="130">
        <f t="shared" si="38"/>
        <v>36610.233049823233</v>
      </c>
      <c r="S17" s="130">
        <f t="shared" si="26"/>
        <v>37159.386545570582</v>
      </c>
      <c r="T17" s="130">
        <f t="shared" si="26"/>
        <v>37716.77734375414</v>
      </c>
      <c r="U17" s="130">
        <f t="shared" si="26"/>
        <v>38282.529003910451</v>
      </c>
      <c r="V17" s="130">
        <f t="shared" ref="V17" si="40">U17+(U17*1.5%)</f>
        <v>38856.766938969107</v>
      </c>
      <c r="W17" s="130">
        <f t="shared" si="18"/>
        <v>39439.618443053645</v>
      </c>
      <c r="X17" s="130">
        <f t="shared" si="19"/>
        <v>40031.212719699448</v>
      </c>
      <c r="Y17" s="130">
        <f t="shared" si="20"/>
        <v>40631.680910494943</v>
      </c>
      <c r="Z17" s="130">
        <f t="shared" ref="Z17" si="41">Y17+(Y17*1.5%)</f>
        <v>41241.156124152367</v>
      </c>
    </row>
    <row r="18" spans="1:26" ht="14.45" x14ac:dyDescent="0.3">
      <c r="A18" s="32" t="s">
        <v>6</v>
      </c>
      <c r="B18" s="50">
        <v>1000</v>
      </c>
      <c r="C18" s="50">
        <v>1000</v>
      </c>
      <c r="D18" s="50">
        <v>1000</v>
      </c>
      <c r="E18" s="50">
        <v>1000</v>
      </c>
      <c r="F18" s="50">
        <v>1000</v>
      </c>
      <c r="G18" s="50">
        <v>1000</v>
      </c>
      <c r="H18" s="50">
        <v>1000</v>
      </c>
      <c r="I18" s="50">
        <v>1000</v>
      </c>
      <c r="J18" s="50">
        <v>1000</v>
      </c>
      <c r="K18" s="50">
        <v>1000</v>
      </c>
      <c r="L18" s="50">
        <v>1000</v>
      </c>
      <c r="M18" s="50">
        <v>1000</v>
      </c>
      <c r="N18" s="50">
        <v>1000</v>
      </c>
      <c r="O18" s="50">
        <v>1000</v>
      </c>
      <c r="P18" s="50">
        <v>1000</v>
      </c>
      <c r="Q18" s="50">
        <v>1000</v>
      </c>
      <c r="R18" s="50">
        <v>1000</v>
      </c>
      <c r="S18" s="50">
        <v>1000</v>
      </c>
      <c r="T18" s="50">
        <v>1000</v>
      </c>
      <c r="U18" s="50">
        <v>1000</v>
      </c>
      <c r="V18" s="50">
        <v>1000</v>
      </c>
      <c r="W18" s="50">
        <v>1000</v>
      </c>
      <c r="X18" s="50">
        <v>1000</v>
      </c>
      <c r="Y18" s="50">
        <v>1000</v>
      </c>
      <c r="Z18" s="50">
        <v>1000</v>
      </c>
    </row>
    <row r="19" spans="1:26" s="2" customFormat="1" ht="14.45" x14ac:dyDescent="0.3">
      <c r="A19" s="33" t="s">
        <v>7</v>
      </c>
      <c r="B19" s="51">
        <f t="shared" ref="B19:Z19" si="42">SUM(B12:B18)</f>
        <v>402850</v>
      </c>
      <c r="C19" s="31">
        <f t="shared" si="42"/>
        <v>408877.75</v>
      </c>
      <c r="D19" s="31">
        <f t="shared" si="42"/>
        <v>414995.91625000001</v>
      </c>
      <c r="E19" s="31">
        <f t="shared" si="42"/>
        <v>421205.85499374999</v>
      </c>
      <c r="F19" s="31">
        <f t="shared" si="42"/>
        <v>427508.94281865627</v>
      </c>
      <c r="G19" s="31">
        <f t="shared" si="42"/>
        <v>433906.57696093613</v>
      </c>
      <c r="H19" s="31">
        <f t="shared" si="42"/>
        <v>440400.17561535019</v>
      </c>
      <c r="I19" s="31">
        <f t="shared" si="42"/>
        <v>446991.17824958044</v>
      </c>
      <c r="J19" s="31">
        <f t="shared" si="42"/>
        <v>453681.04592332419</v>
      </c>
      <c r="K19" s="31">
        <f t="shared" si="42"/>
        <v>460471.26161217387</v>
      </c>
      <c r="L19" s="31">
        <f t="shared" si="42"/>
        <v>467363.33053635655</v>
      </c>
      <c r="M19" s="31">
        <f t="shared" si="42"/>
        <v>474358.78049440193</v>
      </c>
      <c r="N19" s="31">
        <f t="shared" si="42"/>
        <v>481459.16220181796</v>
      </c>
      <c r="O19" s="31">
        <f t="shared" si="42"/>
        <v>488666.04963484517</v>
      </c>
      <c r="P19" s="31">
        <f t="shared" si="42"/>
        <v>495981.04037936794</v>
      </c>
      <c r="Q19" s="31">
        <f t="shared" si="42"/>
        <v>503405.75598505844</v>
      </c>
      <c r="R19" s="31">
        <f t="shared" si="42"/>
        <v>510941.8423248342</v>
      </c>
      <c r="S19" s="31">
        <f t="shared" si="42"/>
        <v>518590.96995970682</v>
      </c>
      <c r="T19" s="31">
        <f t="shared" si="42"/>
        <v>526354.83450910251</v>
      </c>
      <c r="U19" s="131">
        <f t="shared" si="42"/>
        <v>534235.15702673898</v>
      </c>
      <c r="V19" s="131">
        <f t="shared" si="42"/>
        <v>542233.68438214005</v>
      </c>
      <c r="W19" s="131">
        <f t="shared" si="42"/>
        <v>550352.18964787212</v>
      </c>
      <c r="X19" s="131">
        <f t="shared" si="42"/>
        <v>558592.4724925902</v>
      </c>
      <c r="Y19" s="131">
        <f t="shared" si="42"/>
        <v>566956.35957997909</v>
      </c>
      <c r="Z19" s="36">
        <f t="shared" si="42"/>
        <v>575445.70497367869</v>
      </c>
    </row>
    <row r="20" spans="1:26" ht="2.1" customHeight="1" x14ac:dyDescent="0.3">
      <c r="A20" s="39"/>
      <c r="B20" s="12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133"/>
      <c r="V20" s="133"/>
      <c r="W20" s="133"/>
      <c r="X20" s="133"/>
      <c r="Y20" s="133"/>
      <c r="Z20" s="41"/>
    </row>
    <row r="21" spans="1:26" s="2" customFormat="1" ht="14.45" x14ac:dyDescent="0.3">
      <c r="A21" s="33" t="s">
        <v>8</v>
      </c>
      <c r="B21" s="51">
        <f t="shared" ref="B21:Z21" si="43">B10-B19</f>
        <v>28950</v>
      </c>
      <c r="C21" s="31">
        <f t="shared" si="43"/>
        <v>29399.25</v>
      </c>
      <c r="D21" s="31">
        <f t="shared" si="43"/>
        <v>29855.238750000019</v>
      </c>
      <c r="E21" s="31">
        <f t="shared" si="43"/>
        <v>30318.06733125</v>
      </c>
      <c r="F21" s="31">
        <f t="shared" si="43"/>
        <v>30787.83834121871</v>
      </c>
      <c r="G21" s="31">
        <f t="shared" si="43"/>
        <v>31264.655916336982</v>
      </c>
      <c r="H21" s="31">
        <f t="shared" si="43"/>
        <v>31748.625755082059</v>
      </c>
      <c r="I21" s="31">
        <f t="shared" si="43"/>
        <v>32239.855141408276</v>
      </c>
      <c r="J21" s="31">
        <f t="shared" si="43"/>
        <v>32738.452968529309</v>
      </c>
      <c r="K21" s="31">
        <f t="shared" si="43"/>
        <v>33244.529763057479</v>
      </c>
      <c r="L21" s="31">
        <f t="shared" si="43"/>
        <v>33758.197709503293</v>
      </c>
      <c r="M21" s="31">
        <f t="shared" si="43"/>
        <v>34279.570675145776</v>
      </c>
      <c r="N21" s="31">
        <f t="shared" si="43"/>
        <v>34808.764235272945</v>
      </c>
      <c r="O21" s="31">
        <f t="shared" si="43"/>
        <v>35345.89569880208</v>
      </c>
      <c r="P21" s="31">
        <f t="shared" si="43"/>
        <v>35891.084134283999</v>
      </c>
      <c r="Q21" s="31">
        <f t="shared" si="43"/>
        <v>36444.450396298256</v>
      </c>
      <c r="R21" s="31">
        <f t="shared" si="43"/>
        <v>37006.117152242805</v>
      </c>
      <c r="S21" s="31">
        <f t="shared" si="43"/>
        <v>37576.208909526409</v>
      </c>
      <c r="T21" s="31">
        <f t="shared" si="43"/>
        <v>38154.852043169201</v>
      </c>
      <c r="U21" s="131">
        <f t="shared" si="43"/>
        <v>38742.174823816866</v>
      </c>
      <c r="V21" s="131">
        <f t="shared" si="43"/>
        <v>39338.307446174091</v>
      </c>
      <c r="W21" s="131">
        <f t="shared" si="43"/>
        <v>39943.38205786678</v>
      </c>
      <c r="X21" s="131">
        <f t="shared" si="43"/>
        <v>40557.532788734767</v>
      </c>
      <c r="Y21" s="131">
        <f t="shared" si="43"/>
        <v>41180.895780565799</v>
      </c>
      <c r="Z21" s="36">
        <f t="shared" si="43"/>
        <v>41813.609217274236</v>
      </c>
    </row>
    <row r="22" spans="1:26" ht="2.1" customHeight="1" x14ac:dyDescent="0.3">
      <c r="A22" s="39"/>
      <c r="B22" s="12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133"/>
      <c r="V22" s="133"/>
      <c r="W22" s="133"/>
      <c r="X22" s="133"/>
      <c r="Y22" s="133"/>
      <c r="Z22" s="41"/>
    </row>
    <row r="23" spans="1:26" ht="14.45" x14ac:dyDescent="0.3">
      <c r="A23" s="32" t="s">
        <v>88</v>
      </c>
      <c r="B23" s="50">
        <f>'Investimenti e ammortamenti'!C12</f>
        <v>13938.254000000001</v>
      </c>
      <c r="C23" s="30">
        <f>'Investimenti e ammortamenti'!D12</f>
        <v>13938.254000000001</v>
      </c>
      <c r="D23" s="30">
        <f>'Investimenti e ammortamenti'!E12</f>
        <v>13938.254000000001</v>
      </c>
      <c r="E23" s="30">
        <f>'Investimenti e ammortamenti'!F12</f>
        <v>13938.254000000001</v>
      </c>
      <c r="F23" s="30">
        <f>'Investimenti e ammortamenti'!G12</f>
        <v>13938.254000000001</v>
      </c>
      <c r="G23" s="30">
        <f>'Investimenti e ammortamenti'!H12</f>
        <v>11938.254000000001</v>
      </c>
      <c r="H23" s="30">
        <f>'Investimenti e ammortamenti'!I12</f>
        <v>11938.254000000001</v>
      </c>
      <c r="I23" s="30">
        <f>'Investimenti e ammortamenti'!J12</f>
        <v>11938.254000000001</v>
      </c>
      <c r="J23" s="30">
        <f>'Investimenti e ammortamenti'!K12</f>
        <v>11938.254000000001</v>
      </c>
      <c r="K23" s="30">
        <f>'Investimenti e ammortamenti'!L12</f>
        <v>11938.254000000001</v>
      </c>
      <c r="L23" s="30">
        <f>'Investimenti e ammortamenti'!M12</f>
        <v>11938.254000000001</v>
      </c>
      <c r="M23" s="30">
        <f>'Investimenti e ammortamenti'!N12</f>
        <v>11938.254000000001</v>
      </c>
      <c r="N23" s="30">
        <f>'Investimenti e ammortamenti'!O12</f>
        <v>11938.254000000001</v>
      </c>
      <c r="O23" s="30">
        <f>'Investimenti e ammortamenti'!P12</f>
        <v>11938.254000000001</v>
      </c>
      <c r="P23" s="30">
        <f>'Investimenti e ammortamenti'!Q12</f>
        <v>11938.254000000001</v>
      </c>
      <c r="Q23" s="30">
        <f>'Investimenti e ammortamenti'!R12</f>
        <v>11938.254000000001</v>
      </c>
      <c r="R23" s="30">
        <f>'Investimenti e ammortamenti'!S12</f>
        <v>11938.254000000001</v>
      </c>
      <c r="S23" s="30">
        <f>'Investimenti e ammortamenti'!T12</f>
        <v>11938.254000000001</v>
      </c>
      <c r="T23" s="30">
        <f>'Investimenti e ammortamenti'!U12</f>
        <v>11938.254000000001</v>
      </c>
      <c r="U23" s="30">
        <f>'Investimenti e ammortamenti'!V12</f>
        <v>11938.254000000001</v>
      </c>
      <c r="V23" s="30">
        <f>'Investimenti e ammortamenti'!W12</f>
        <v>11938.254000000001</v>
      </c>
      <c r="W23" s="30">
        <f>'Investimenti e ammortamenti'!X12</f>
        <v>11938.254000000001</v>
      </c>
      <c r="X23" s="30">
        <f>'Investimenti e ammortamenti'!Y12</f>
        <v>11938.254000000001</v>
      </c>
      <c r="Y23" s="30">
        <f>'Investimenti e ammortamenti'!Z12</f>
        <v>11938.254000000001</v>
      </c>
      <c r="Z23" s="35">
        <f>'Investimenti e ammortamenti'!AA12</f>
        <v>11938.254000000001</v>
      </c>
    </row>
    <row r="24" spans="1:26" ht="1.5" customHeight="1" x14ac:dyDescent="0.3">
      <c r="A24" s="174"/>
      <c r="B24" s="144">
        <v>0</v>
      </c>
      <c r="C24" s="145">
        <v>0</v>
      </c>
      <c r="D24" s="145">
        <v>0</v>
      </c>
      <c r="E24" s="145">
        <v>0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6"/>
    </row>
    <row r="25" spans="1:26" ht="5.25" customHeight="1" x14ac:dyDescent="0.3">
      <c r="A25" s="39"/>
      <c r="B25" s="121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133"/>
      <c r="V25" s="133"/>
      <c r="W25" s="133"/>
      <c r="X25" s="133"/>
      <c r="Y25" s="133"/>
      <c r="Z25" s="41"/>
    </row>
    <row r="26" spans="1:26" s="2" customFormat="1" ht="14.45" x14ac:dyDescent="0.3">
      <c r="A26" s="33" t="s">
        <v>9</v>
      </c>
      <c r="B26" s="51">
        <f t="shared" ref="B26:Z26" si="44">B21-SUM(B23,B24)</f>
        <v>15011.745999999999</v>
      </c>
      <c r="C26" s="31">
        <f t="shared" si="44"/>
        <v>15460.995999999999</v>
      </c>
      <c r="D26" s="31">
        <f t="shared" si="44"/>
        <v>15916.984750000018</v>
      </c>
      <c r="E26" s="31">
        <f t="shared" si="44"/>
        <v>16379.813331249999</v>
      </c>
      <c r="F26" s="31">
        <f t="shared" si="44"/>
        <v>16849.58434121871</v>
      </c>
      <c r="G26" s="31">
        <f t="shared" si="44"/>
        <v>19326.401916336981</v>
      </c>
      <c r="H26" s="31">
        <f t="shared" si="44"/>
        <v>19810.371755082058</v>
      </c>
      <c r="I26" s="31">
        <f t="shared" si="44"/>
        <v>20301.601141408275</v>
      </c>
      <c r="J26" s="31">
        <f t="shared" si="44"/>
        <v>20800.198968529308</v>
      </c>
      <c r="K26" s="31">
        <f t="shared" si="44"/>
        <v>21306.275763057478</v>
      </c>
      <c r="L26" s="31">
        <f t="shared" si="44"/>
        <v>21819.943709503292</v>
      </c>
      <c r="M26" s="31">
        <f t="shared" si="44"/>
        <v>22341.316675145776</v>
      </c>
      <c r="N26" s="31">
        <f t="shared" si="44"/>
        <v>22870.510235272945</v>
      </c>
      <c r="O26" s="31">
        <f t="shared" si="44"/>
        <v>23407.641698802079</v>
      </c>
      <c r="P26" s="31">
        <f t="shared" si="44"/>
        <v>23952.830134283999</v>
      </c>
      <c r="Q26" s="31">
        <f t="shared" si="44"/>
        <v>24506.196396298255</v>
      </c>
      <c r="R26" s="31">
        <f t="shared" si="44"/>
        <v>25067.863152242804</v>
      </c>
      <c r="S26" s="31">
        <f t="shared" si="44"/>
        <v>25637.954909526408</v>
      </c>
      <c r="T26" s="31">
        <f t="shared" si="44"/>
        <v>26216.598043169201</v>
      </c>
      <c r="U26" s="31">
        <f t="shared" si="44"/>
        <v>26803.920823816865</v>
      </c>
      <c r="V26" s="31">
        <f t="shared" si="44"/>
        <v>27400.05344617409</v>
      </c>
      <c r="W26" s="31">
        <f t="shared" si="44"/>
        <v>28005.128057866779</v>
      </c>
      <c r="X26" s="31">
        <f t="shared" si="44"/>
        <v>28619.278788734766</v>
      </c>
      <c r="Y26" s="31">
        <f t="shared" si="44"/>
        <v>29242.641780565798</v>
      </c>
      <c r="Z26" s="36">
        <f t="shared" si="44"/>
        <v>29875.355217274235</v>
      </c>
    </row>
    <row r="27" spans="1:26" ht="2.1" customHeight="1" x14ac:dyDescent="0.3">
      <c r="A27" s="39"/>
      <c r="B27" s="12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33"/>
      <c r="V27" s="133"/>
      <c r="W27" s="133"/>
      <c r="X27" s="133"/>
      <c r="Y27" s="133"/>
      <c r="Z27" s="41"/>
    </row>
    <row r="28" spans="1:26" ht="14.45" x14ac:dyDescent="0.3">
      <c r="A28" s="32" t="s">
        <v>60</v>
      </c>
      <c r="B28" s="50">
        <v>-15000</v>
      </c>
      <c r="C28" s="50">
        <v>-15000</v>
      </c>
      <c r="D28" s="50">
        <v>-15000</v>
      </c>
      <c r="E28" s="50">
        <v>-15000</v>
      </c>
      <c r="F28" s="50">
        <v>-15000</v>
      </c>
      <c r="G28" s="50">
        <v>-15000</v>
      </c>
      <c r="H28" s="50">
        <v>-15000</v>
      </c>
      <c r="I28" s="50">
        <v>-15000</v>
      </c>
      <c r="J28" s="50">
        <v>-15000</v>
      </c>
      <c r="K28" s="50">
        <v>-15000</v>
      </c>
      <c r="L28" s="50">
        <v>-15000</v>
      </c>
      <c r="M28" s="50">
        <v>-15000</v>
      </c>
      <c r="N28" s="50">
        <v>-15000</v>
      </c>
      <c r="O28" s="50">
        <v>-15000</v>
      </c>
      <c r="P28" s="50">
        <v>-15000</v>
      </c>
      <c r="Q28" s="50">
        <v>-15000</v>
      </c>
      <c r="R28" s="50">
        <v>-15000</v>
      </c>
      <c r="S28" s="50">
        <v>-15000</v>
      </c>
      <c r="T28" s="50">
        <v>-15000</v>
      </c>
      <c r="U28" s="50">
        <v>-15000</v>
      </c>
      <c r="V28" s="50">
        <v>-15000</v>
      </c>
      <c r="W28" s="50">
        <v>-15000</v>
      </c>
      <c r="X28" s="50">
        <v>-15000</v>
      </c>
      <c r="Y28" s="50">
        <v>-15000</v>
      </c>
      <c r="Z28" s="50">
        <v>-15000</v>
      </c>
    </row>
    <row r="29" spans="1:26" ht="2.1" customHeight="1" x14ac:dyDescent="0.3">
      <c r="A29" s="39"/>
      <c r="B29" s="121"/>
      <c r="C29" s="121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33"/>
      <c r="V29" s="133"/>
      <c r="W29" s="133"/>
      <c r="X29" s="133"/>
      <c r="Y29" s="133"/>
      <c r="Z29" s="41"/>
    </row>
    <row r="30" spans="1:26" s="2" customFormat="1" ht="14.45" x14ac:dyDescent="0.3">
      <c r="A30" s="33" t="s">
        <v>10</v>
      </c>
      <c r="B30" s="51">
        <f t="shared" ref="B30:U30" si="45">B26+SUM(B28:B28)</f>
        <v>11.745999999999185</v>
      </c>
      <c r="C30" s="31">
        <f t="shared" si="45"/>
        <v>460.99599999999919</v>
      </c>
      <c r="D30" s="31">
        <f t="shared" si="45"/>
        <v>916.98475000001781</v>
      </c>
      <c r="E30" s="31">
        <f t="shared" si="45"/>
        <v>1379.8133312499995</v>
      </c>
      <c r="F30" s="31">
        <f t="shared" si="45"/>
        <v>1849.5843412187096</v>
      </c>
      <c r="G30" s="31">
        <f t="shared" si="45"/>
        <v>4326.4019163369812</v>
      </c>
      <c r="H30" s="31">
        <f t="shared" si="45"/>
        <v>4810.3717550820584</v>
      </c>
      <c r="I30" s="31">
        <f t="shared" si="45"/>
        <v>5301.601141408275</v>
      </c>
      <c r="J30" s="31">
        <f t="shared" si="45"/>
        <v>5800.1989685293083</v>
      </c>
      <c r="K30" s="31">
        <f t="shared" si="45"/>
        <v>6306.2757630574779</v>
      </c>
      <c r="L30" s="31">
        <f t="shared" si="45"/>
        <v>6819.9437095032918</v>
      </c>
      <c r="M30" s="31">
        <f t="shared" si="45"/>
        <v>7341.3166751457757</v>
      </c>
      <c r="N30" s="31">
        <f t="shared" si="45"/>
        <v>7870.5102352729446</v>
      </c>
      <c r="O30" s="31">
        <f t="shared" si="45"/>
        <v>8407.6416988020792</v>
      </c>
      <c r="P30" s="31">
        <f t="shared" si="45"/>
        <v>8952.8301342839986</v>
      </c>
      <c r="Q30" s="31">
        <f t="shared" si="45"/>
        <v>9506.1963962982554</v>
      </c>
      <c r="R30" s="31">
        <f t="shared" si="45"/>
        <v>10067.863152242804</v>
      </c>
      <c r="S30" s="31">
        <f t="shared" si="45"/>
        <v>10637.954909526408</v>
      </c>
      <c r="T30" s="31">
        <f t="shared" si="45"/>
        <v>11216.598043169201</v>
      </c>
      <c r="U30" s="131">
        <f t="shared" si="45"/>
        <v>11803.920823816865</v>
      </c>
      <c r="V30" s="131">
        <f t="shared" ref="V30:Z30" si="46">V26+SUM(V28:V28)</f>
        <v>12400.05344617409</v>
      </c>
      <c r="W30" s="131">
        <f t="shared" si="46"/>
        <v>13005.128057866779</v>
      </c>
      <c r="X30" s="131">
        <f t="shared" si="46"/>
        <v>13619.278788734766</v>
      </c>
      <c r="Y30" s="131">
        <f t="shared" si="46"/>
        <v>14242.641780565798</v>
      </c>
      <c r="Z30" s="36">
        <f t="shared" si="46"/>
        <v>14875.355217274235</v>
      </c>
    </row>
    <row r="31" spans="1:26" ht="2.1" customHeight="1" x14ac:dyDescent="0.3">
      <c r="A31" s="39"/>
      <c r="B31" s="121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133"/>
      <c r="V31" s="133"/>
      <c r="W31" s="133"/>
      <c r="X31" s="133"/>
      <c r="Y31" s="133"/>
      <c r="Z31" s="41"/>
    </row>
    <row r="32" spans="1:26" ht="14.45" x14ac:dyDescent="0.3">
      <c r="A32" s="32" t="s">
        <v>11</v>
      </c>
      <c r="B32" s="50">
        <v>0</v>
      </c>
      <c r="C32" s="30">
        <f>IF(C30&gt;0,C30*27.9%,0)</f>
        <v>128.61788399999975</v>
      </c>
      <c r="D32" s="30">
        <f t="shared" ref="D32:Y32" si="47">IF(D30&gt;0,D30*27.9%,0)</f>
        <v>255.83874525000493</v>
      </c>
      <c r="E32" s="30">
        <f t="shared" si="47"/>
        <v>384.96791941874983</v>
      </c>
      <c r="F32" s="30">
        <f t="shared" si="47"/>
        <v>516.03403120001997</v>
      </c>
      <c r="G32" s="30">
        <f t="shared" si="47"/>
        <v>1207.0661346580177</v>
      </c>
      <c r="H32" s="30">
        <f t="shared" si="47"/>
        <v>1342.0937196678942</v>
      </c>
      <c r="I32" s="30">
        <f t="shared" si="47"/>
        <v>1479.1467184529085</v>
      </c>
      <c r="J32" s="30">
        <f t="shared" si="47"/>
        <v>1618.2555122196768</v>
      </c>
      <c r="K32" s="30">
        <f t="shared" si="47"/>
        <v>1759.4509378930361</v>
      </c>
      <c r="L32" s="30">
        <f t="shared" si="47"/>
        <v>1902.7642949514182</v>
      </c>
      <c r="M32" s="30">
        <f t="shared" si="47"/>
        <v>2048.2273523656713</v>
      </c>
      <c r="N32" s="30">
        <f t="shared" si="47"/>
        <v>2195.8723556411514</v>
      </c>
      <c r="O32" s="30">
        <f t="shared" si="47"/>
        <v>2345.7320339657799</v>
      </c>
      <c r="P32" s="30">
        <f t="shared" si="47"/>
        <v>2497.8396074652355</v>
      </c>
      <c r="Q32" s="30">
        <f t="shared" si="47"/>
        <v>2652.2287945672128</v>
      </c>
      <c r="R32" s="30">
        <f t="shared" si="47"/>
        <v>2808.933819475742</v>
      </c>
      <c r="S32" s="30">
        <f t="shared" si="47"/>
        <v>2967.9894197578674</v>
      </c>
      <c r="T32" s="30">
        <f t="shared" si="47"/>
        <v>3129.4308540442066</v>
      </c>
      <c r="U32" s="30">
        <f t="shared" si="47"/>
        <v>3293.2939098449051</v>
      </c>
      <c r="V32" s="30">
        <f t="shared" si="47"/>
        <v>3459.6149114825707</v>
      </c>
      <c r="W32" s="30">
        <f t="shared" si="47"/>
        <v>3628.4307281448309</v>
      </c>
      <c r="X32" s="30">
        <f t="shared" si="47"/>
        <v>3799.7787820569993</v>
      </c>
      <c r="Y32" s="30">
        <f t="shared" si="47"/>
        <v>3973.6970567778571</v>
      </c>
      <c r="Z32" s="35">
        <f>IF(Z30&gt;0,Z30*27.9%,0)</f>
        <v>4150.2241056195107</v>
      </c>
    </row>
    <row r="33" spans="1:26" ht="2.1" customHeight="1" x14ac:dyDescent="0.3">
      <c r="A33" s="39"/>
      <c r="B33" s="121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133"/>
      <c r="V33" s="133"/>
      <c r="W33" s="133"/>
      <c r="X33" s="133"/>
      <c r="Y33" s="133"/>
      <c r="Z33" s="41"/>
    </row>
    <row r="34" spans="1:26" s="2" customFormat="1" thickBot="1" x14ac:dyDescent="0.35">
      <c r="A34" s="34" t="s">
        <v>12</v>
      </c>
      <c r="B34" s="52">
        <f>B30-B32</f>
        <v>11.745999999999185</v>
      </c>
      <c r="C34" s="37">
        <f t="shared" ref="C34:U34" si="48">C30-C32</f>
        <v>332.37811599999941</v>
      </c>
      <c r="D34" s="37">
        <f t="shared" si="48"/>
        <v>661.14600475001293</v>
      </c>
      <c r="E34" s="37">
        <f t="shared" si="48"/>
        <v>994.84541183124963</v>
      </c>
      <c r="F34" s="37">
        <f t="shared" si="48"/>
        <v>1333.5503100186897</v>
      </c>
      <c r="G34" s="37">
        <f t="shared" si="48"/>
        <v>3119.3357816789635</v>
      </c>
      <c r="H34" s="37">
        <f t="shared" si="48"/>
        <v>3468.2780354141642</v>
      </c>
      <c r="I34" s="37">
        <f t="shared" si="48"/>
        <v>3822.4544229553667</v>
      </c>
      <c r="J34" s="37">
        <f t="shared" si="48"/>
        <v>4181.9434563096311</v>
      </c>
      <c r="K34" s="37">
        <f t="shared" si="48"/>
        <v>4546.8248251644418</v>
      </c>
      <c r="L34" s="37">
        <f t="shared" si="48"/>
        <v>4917.1794145518734</v>
      </c>
      <c r="M34" s="37">
        <f t="shared" si="48"/>
        <v>5293.0893227801043</v>
      </c>
      <c r="N34" s="37">
        <f t="shared" si="48"/>
        <v>5674.6378796317931</v>
      </c>
      <c r="O34" s="37">
        <f t="shared" si="48"/>
        <v>6061.9096648362993</v>
      </c>
      <c r="P34" s="37">
        <f t="shared" si="48"/>
        <v>6454.9905268187631</v>
      </c>
      <c r="Q34" s="37">
        <f t="shared" si="48"/>
        <v>6853.967601731043</v>
      </c>
      <c r="R34" s="37">
        <f t="shared" si="48"/>
        <v>7258.9293327670621</v>
      </c>
      <c r="S34" s="37">
        <f t="shared" si="48"/>
        <v>7669.9654897685414</v>
      </c>
      <c r="T34" s="37">
        <f t="shared" si="48"/>
        <v>8087.1671891249935</v>
      </c>
      <c r="U34" s="134">
        <f t="shared" si="48"/>
        <v>8510.6269139719589</v>
      </c>
      <c r="V34" s="134">
        <f t="shared" ref="V34:Z34" si="49">V30-V32</f>
        <v>8940.4385346915187</v>
      </c>
      <c r="W34" s="134">
        <f t="shared" si="49"/>
        <v>9376.6973297219483</v>
      </c>
      <c r="X34" s="134">
        <f t="shared" si="49"/>
        <v>9819.5000066777666</v>
      </c>
      <c r="Y34" s="134">
        <f t="shared" si="49"/>
        <v>10268.944723787941</v>
      </c>
      <c r="Z34" s="38">
        <f t="shared" si="49"/>
        <v>10725.131111654724</v>
      </c>
    </row>
    <row r="35" spans="1:26" ht="14.45" x14ac:dyDescent="0.3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6" ht="14.45" x14ac:dyDescent="0.3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6" ht="14.45" x14ac:dyDescent="0.3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4.45" x14ac:dyDescent="0.3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</sheetData>
  <mergeCells count="1">
    <mergeCell ref="A1:Z3"/>
  </mergeCells>
  <conditionalFormatting sqref="B5:Z10 B12:Z19 B21:Z21 B23:Z24 B26:Z26 B28:Z28 B30:Z30 B32:Z32 B34:Z34">
    <cfRule type="cellIs" dxfId="6" priority="2" operator="lessThan">
      <formula>0</formula>
    </cfRule>
  </conditionalFormatting>
  <pageMargins left="0.7" right="0.7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Z56"/>
  <sheetViews>
    <sheetView topLeftCell="A13" workbookViewId="0">
      <selection activeCell="G63" sqref="G63"/>
    </sheetView>
  </sheetViews>
  <sheetFormatPr defaultRowHeight="15" x14ac:dyDescent="0.25"/>
  <cols>
    <col min="1" max="1" width="40.42578125" bestFit="1" customWidth="1"/>
    <col min="2" max="2" width="13.28515625" bestFit="1" customWidth="1"/>
    <col min="3" max="3" width="13.140625" bestFit="1" customWidth="1"/>
    <col min="4" max="12" width="13.28515625" bestFit="1" customWidth="1"/>
    <col min="13" max="25" width="12.7109375" customWidth="1"/>
    <col min="26" max="26" width="13.140625" bestFit="1" customWidth="1"/>
  </cols>
  <sheetData>
    <row r="1" spans="1:26" ht="15" customHeight="1" x14ac:dyDescent="0.25">
      <c r="A1" s="279" t="s">
        <v>63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1"/>
    </row>
    <row r="2" spans="1:26" ht="15" customHeight="1" x14ac:dyDescent="0.25">
      <c r="A2" s="282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4"/>
    </row>
    <row r="3" spans="1:26" ht="15.75" customHeight="1" thickBot="1" x14ac:dyDescent="0.3">
      <c r="A3" s="282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4"/>
    </row>
    <row r="4" spans="1:26" s="27" customFormat="1" thickBot="1" x14ac:dyDescent="0.35">
      <c r="A4" s="57" t="s">
        <v>13</v>
      </c>
      <c r="B4" s="70">
        <v>2024</v>
      </c>
      <c r="C4" s="58">
        <v>2025</v>
      </c>
      <c r="D4" s="70">
        <v>2026</v>
      </c>
      <c r="E4" s="58">
        <v>2027</v>
      </c>
      <c r="F4" s="70">
        <v>2028</v>
      </c>
      <c r="G4" s="58">
        <v>2029</v>
      </c>
      <c r="H4" s="70">
        <v>2030</v>
      </c>
      <c r="I4" s="58">
        <v>2031</v>
      </c>
      <c r="J4" s="70">
        <v>2032</v>
      </c>
      <c r="K4" s="58">
        <v>2033</v>
      </c>
      <c r="L4" s="70">
        <v>2034</v>
      </c>
      <c r="M4" s="58">
        <v>2035</v>
      </c>
      <c r="N4" s="70">
        <v>2036</v>
      </c>
      <c r="O4" s="58">
        <v>2037</v>
      </c>
      <c r="P4" s="70">
        <v>2038</v>
      </c>
      <c r="Q4" s="58">
        <v>2039</v>
      </c>
      <c r="R4" s="70">
        <v>2040</v>
      </c>
      <c r="S4" s="58">
        <v>2041</v>
      </c>
      <c r="T4" s="70">
        <v>2042</v>
      </c>
      <c r="U4" s="58">
        <v>2043</v>
      </c>
      <c r="V4" s="70">
        <v>2044</v>
      </c>
      <c r="W4" s="58">
        <v>2045</v>
      </c>
      <c r="X4" s="70">
        <v>2046</v>
      </c>
      <c r="Y4" s="58">
        <v>2047</v>
      </c>
      <c r="Z4" s="70">
        <v>2048</v>
      </c>
    </row>
    <row r="5" spans="1:26" ht="2.1" customHeight="1" thickBot="1" x14ac:dyDescent="0.35">
      <c r="A5" s="64"/>
      <c r="B5" s="71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132"/>
      <c r="V5" s="132"/>
      <c r="W5" s="132"/>
      <c r="X5" s="132"/>
      <c r="Y5" s="132"/>
      <c r="Z5" s="117"/>
    </row>
    <row r="6" spans="1:26" s="2" customFormat="1" thickBot="1" x14ac:dyDescent="0.35">
      <c r="A6" s="10" t="s">
        <v>27</v>
      </c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136"/>
      <c r="V6" s="136"/>
      <c r="W6" s="136"/>
      <c r="X6" s="136"/>
      <c r="Y6" s="136"/>
      <c r="Z6" s="74"/>
    </row>
    <row r="7" spans="1:26" ht="2.1" customHeight="1" thickBot="1" x14ac:dyDescent="0.35">
      <c r="A7" s="65"/>
      <c r="B7" s="189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1"/>
      <c r="V7" s="191"/>
      <c r="W7" s="191"/>
      <c r="X7" s="191"/>
      <c r="Y7" s="191"/>
      <c r="Z7" s="192"/>
    </row>
    <row r="8" spans="1:26" ht="14.45" x14ac:dyDescent="0.3">
      <c r="A8" s="66" t="s">
        <v>28</v>
      </c>
      <c r="B8" s="158">
        <f>'Investimenti e ammortamenti'!C$21</f>
        <v>294518.09599999996</v>
      </c>
      <c r="C8" s="159">
        <f>'Investimenti e ammortamenti'!D21</f>
        <v>280579.84199999995</v>
      </c>
      <c r="D8" s="159">
        <f>'Investimenti e ammortamenti'!E21</f>
        <v>266641.58799999999</v>
      </c>
      <c r="E8" s="159">
        <f>'Investimenti e ammortamenti'!F21</f>
        <v>252703.33399999997</v>
      </c>
      <c r="F8" s="159">
        <f>'Investimenti e ammortamenti'!G21</f>
        <v>238765.07999999996</v>
      </c>
      <c r="G8" s="159">
        <f>'Investimenti e ammortamenti'!H21</f>
        <v>226826.82599999997</v>
      </c>
      <c r="H8" s="159">
        <f>'Investimenti e ammortamenti'!I21</f>
        <v>214888.57199999999</v>
      </c>
      <c r="I8" s="159">
        <f>'Investimenti e ammortamenti'!J21</f>
        <v>202950.31799999997</v>
      </c>
      <c r="J8" s="159">
        <f>'Investimenti e ammortamenti'!K21</f>
        <v>191012.06399999995</v>
      </c>
      <c r="K8" s="159">
        <f>'Investimenti e ammortamenti'!L21</f>
        <v>179073.80999999997</v>
      </c>
      <c r="L8" s="159">
        <f>'Investimenti e ammortamenti'!M21</f>
        <v>167135.55599999998</v>
      </c>
      <c r="M8" s="159">
        <f>'Investimenti e ammortamenti'!N21</f>
        <v>155197.30199999997</v>
      </c>
      <c r="N8" s="159">
        <f>'Investimenti e ammortamenti'!O21</f>
        <v>143259.04799999995</v>
      </c>
      <c r="O8" s="159">
        <f>'Investimenti e ammortamenti'!P21</f>
        <v>131320.79399999994</v>
      </c>
      <c r="P8" s="159">
        <f>'Investimenti e ammortamenti'!Q21</f>
        <v>119382.53999999992</v>
      </c>
      <c r="Q8" s="159">
        <f>'Investimenti e ammortamenti'!R21</f>
        <v>107444.28599999991</v>
      </c>
      <c r="R8" s="159">
        <f>'Investimenti e ammortamenti'!S21</f>
        <v>95506.03199999989</v>
      </c>
      <c r="S8" s="159">
        <f>'Investimenti e ammortamenti'!T21</f>
        <v>83567.777999999875</v>
      </c>
      <c r="T8" s="159">
        <f>'Investimenti e ammortamenti'!U21</f>
        <v>71629.523999999859</v>
      </c>
      <c r="U8" s="159">
        <f>'Investimenti e ammortamenti'!V21</f>
        <v>59691.269999999844</v>
      </c>
      <c r="V8" s="159">
        <f>'Investimenti e ammortamenti'!W21</f>
        <v>47753.015999999829</v>
      </c>
      <c r="W8" s="159">
        <f>'Investimenti e ammortamenti'!X21</f>
        <v>35814.761999999813</v>
      </c>
      <c r="X8" s="159">
        <f>'Investimenti e ammortamenti'!Y21</f>
        <v>23876.507999999798</v>
      </c>
      <c r="Y8" s="159">
        <f>'Investimenti e ammortamenti'!Z21</f>
        <v>11938.253999999783</v>
      </c>
      <c r="Z8" s="160">
        <f>'Investimenti e ammortamenti'!AA$21</f>
        <v>0</v>
      </c>
    </row>
    <row r="9" spans="1:26" ht="3" customHeight="1" x14ac:dyDescent="0.3">
      <c r="A9" s="66"/>
      <c r="B9" s="7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137"/>
      <c r="W9" s="137"/>
      <c r="X9" s="137"/>
      <c r="Y9" s="137"/>
      <c r="Z9" s="76"/>
    </row>
    <row r="10" spans="1:26" s="2" customFormat="1" ht="14.45" x14ac:dyDescent="0.3">
      <c r="A10" s="7" t="s">
        <v>29</v>
      </c>
      <c r="B10" s="77">
        <f t="shared" ref="B10:Z10" si="0">B8</f>
        <v>294518.09599999996</v>
      </c>
      <c r="C10" s="61">
        <f t="shared" si="0"/>
        <v>280579.84199999995</v>
      </c>
      <c r="D10" s="61">
        <f t="shared" si="0"/>
        <v>266641.58799999999</v>
      </c>
      <c r="E10" s="61">
        <f t="shared" si="0"/>
        <v>252703.33399999997</v>
      </c>
      <c r="F10" s="61">
        <f t="shared" si="0"/>
        <v>238765.07999999996</v>
      </c>
      <c r="G10" s="61">
        <f t="shared" si="0"/>
        <v>226826.82599999997</v>
      </c>
      <c r="H10" s="61">
        <f t="shared" si="0"/>
        <v>214888.57199999999</v>
      </c>
      <c r="I10" s="61">
        <f t="shared" si="0"/>
        <v>202950.31799999997</v>
      </c>
      <c r="J10" s="61">
        <f t="shared" si="0"/>
        <v>191012.06399999995</v>
      </c>
      <c r="K10" s="61">
        <f t="shared" si="0"/>
        <v>179073.80999999997</v>
      </c>
      <c r="L10" s="61">
        <f t="shared" si="0"/>
        <v>167135.55599999998</v>
      </c>
      <c r="M10" s="61">
        <f t="shared" si="0"/>
        <v>155197.30199999997</v>
      </c>
      <c r="N10" s="61">
        <f t="shared" si="0"/>
        <v>143259.04799999995</v>
      </c>
      <c r="O10" s="61">
        <f t="shared" si="0"/>
        <v>131320.79399999994</v>
      </c>
      <c r="P10" s="61">
        <f t="shared" si="0"/>
        <v>119382.53999999992</v>
      </c>
      <c r="Q10" s="61">
        <f t="shared" si="0"/>
        <v>107444.28599999991</v>
      </c>
      <c r="R10" s="61">
        <f t="shared" si="0"/>
        <v>95506.03199999989</v>
      </c>
      <c r="S10" s="61">
        <f t="shared" si="0"/>
        <v>83567.777999999875</v>
      </c>
      <c r="T10" s="61">
        <f t="shared" si="0"/>
        <v>71629.523999999859</v>
      </c>
      <c r="U10" s="61">
        <f t="shared" si="0"/>
        <v>59691.269999999844</v>
      </c>
      <c r="V10" s="138">
        <f t="shared" si="0"/>
        <v>47753.015999999829</v>
      </c>
      <c r="W10" s="138">
        <f t="shared" si="0"/>
        <v>35814.761999999813</v>
      </c>
      <c r="X10" s="138">
        <f t="shared" si="0"/>
        <v>23876.507999999798</v>
      </c>
      <c r="Y10" s="138">
        <f t="shared" si="0"/>
        <v>11938.253999999783</v>
      </c>
      <c r="Z10" s="78">
        <f t="shared" si="0"/>
        <v>0</v>
      </c>
    </row>
    <row r="11" spans="1:26" ht="3" customHeight="1" x14ac:dyDescent="0.3">
      <c r="A11" s="66"/>
      <c r="B11" s="75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137"/>
      <c r="W11" s="137"/>
      <c r="X11" s="137"/>
      <c r="Y11" s="137"/>
      <c r="Z11" s="76"/>
    </row>
    <row r="12" spans="1:26" x14ac:dyDescent="0.25">
      <c r="A12" s="66" t="s">
        <v>70</v>
      </c>
      <c r="B12" s="188">
        <f>'Cash Flow'!B23</f>
        <v>23950</v>
      </c>
      <c r="C12" s="188">
        <f>'Cash Flow'!C23</f>
        <v>25882.378116</v>
      </c>
      <c r="D12" s="188">
        <f>'Cash Flow'!D23</f>
        <v>28143.778120750016</v>
      </c>
      <c r="E12" s="188">
        <f>'Cash Flow'!E23</f>
        <v>30738.877532581268</v>
      </c>
      <c r="F12" s="188">
        <f>'Cash Flow'!F23</f>
        <v>33672.681842599959</v>
      </c>
      <c r="G12" s="188">
        <f>'Cash Flow'!G23</f>
        <v>36392.271624278925</v>
      </c>
      <c r="H12" s="188">
        <f>'Cash Flow'!H23</f>
        <v>39460.803659693091</v>
      </c>
      <c r="I12" s="188">
        <f>'Cash Flow'!I23</f>
        <v>42883.512082648456</v>
      </c>
      <c r="J12" s="188">
        <f>'Cash Flow'!J23</f>
        <v>46665.709538958094</v>
      </c>
      <c r="K12" s="188">
        <f>'Cash Flow'!K23</f>
        <v>50812.788364122534</v>
      </c>
      <c r="L12" s="188">
        <f>'Cash Flow'!L23</f>
        <v>55330.221778674408</v>
      </c>
      <c r="M12" s="188">
        <f>'Cash Flow'!M23</f>
        <v>60223.565101454515</v>
      </c>
      <c r="N12" s="188">
        <f>'Cash Flow'!N23</f>
        <v>65498.45698108631</v>
      </c>
      <c r="O12" s="188">
        <f>'Cash Flow'!O23</f>
        <v>71160.620645922609</v>
      </c>
      <c r="P12" s="188">
        <f>'Cash Flow'!P23</f>
        <v>77215.865172741382</v>
      </c>
      <c r="Q12" s="188">
        <f>'Cash Flow'!Q23</f>
        <v>83670.086774472424</v>
      </c>
      <c r="R12" s="188">
        <f>'Cash Flow'!R23</f>
        <v>90529.270107239485</v>
      </c>
      <c r="S12" s="188">
        <f>'Cash Flow'!S23</f>
        <v>97799.489597008025</v>
      </c>
      <c r="T12" s="188">
        <f>'Cash Flow'!T23</f>
        <v>105486.91078613303</v>
      </c>
      <c r="U12" s="188">
        <f>'Cash Flow'!U23</f>
        <v>113597.79170010498</v>
      </c>
      <c r="V12" s="188">
        <f>'Cash Flow'!V23</f>
        <v>122138.4842347965</v>
      </c>
      <c r="W12" s="188">
        <f>'Cash Flow'!W23</f>
        <v>131115.43556451844</v>
      </c>
      <c r="X12" s="188">
        <f>'Cash Flow'!X23</f>
        <v>140535.18957119621</v>
      </c>
      <c r="Y12" s="188">
        <f>'Cash Flow'!Y23</f>
        <v>150404.38829498415</v>
      </c>
      <c r="Z12" s="188">
        <f>'Cash Flow'!Z23</f>
        <v>160729.77340663888</v>
      </c>
    </row>
    <row r="13" spans="1:26" ht="14.45" x14ac:dyDescent="0.3">
      <c r="A13" s="66" t="s">
        <v>30</v>
      </c>
      <c r="B13" s="75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76"/>
    </row>
    <row r="14" spans="1:26" ht="3" customHeight="1" x14ac:dyDescent="0.3">
      <c r="A14" s="66"/>
      <c r="B14" s="75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137"/>
      <c r="W14" s="137"/>
      <c r="X14" s="137"/>
      <c r="Y14" s="137"/>
      <c r="Z14" s="76"/>
    </row>
    <row r="15" spans="1:26" s="2" customFormat="1" ht="14.45" x14ac:dyDescent="0.3">
      <c r="A15" s="7" t="s">
        <v>31</v>
      </c>
      <c r="B15" s="77">
        <f>SUM(B12:B13)</f>
        <v>23950</v>
      </c>
      <c r="C15" s="61">
        <f>SUM(C12:C13)</f>
        <v>25882.378116</v>
      </c>
      <c r="D15" s="61">
        <f t="shared" ref="D15:Z15" si="1">SUM(D12:D13)</f>
        <v>28143.778120750016</v>
      </c>
      <c r="E15" s="61">
        <f t="shared" si="1"/>
        <v>30738.877532581268</v>
      </c>
      <c r="F15" s="61">
        <f t="shared" si="1"/>
        <v>33672.681842599959</v>
      </c>
      <c r="G15" s="61">
        <f t="shared" si="1"/>
        <v>36392.271624278925</v>
      </c>
      <c r="H15" s="61">
        <f t="shared" si="1"/>
        <v>39460.803659693091</v>
      </c>
      <c r="I15" s="61">
        <f t="shared" si="1"/>
        <v>42883.512082648456</v>
      </c>
      <c r="J15" s="61">
        <f t="shared" si="1"/>
        <v>46665.709538958094</v>
      </c>
      <c r="K15" s="61">
        <f t="shared" si="1"/>
        <v>50812.788364122534</v>
      </c>
      <c r="L15" s="61">
        <f t="shared" si="1"/>
        <v>55330.221778674408</v>
      </c>
      <c r="M15" s="61">
        <f t="shared" si="1"/>
        <v>60223.565101454515</v>
      </c>
      <c r="N15" s="61">
        <f t="shared" si="1"/>
        <v>65498.45698108631</v>
      </c>
      <c r="O15" s="61">
        <f t="shared" si="1"/>
        <v>71160.620645922609</v>
      </c>
      <c r="P15" s="61">
        <f t="shared" si="1"/>
        <v>77215.865172741382</v>
      </c>
      <c r="Q15" s="61">
        <f t="shared" si="1"/>
        <v>83670.086774472424</v>
      </c>
      <c r="R15" s="61">
        <f t="shared" si="1"/>
        <v>90529.270107239485</v>
      </c>
      <c r="S15" s="61">
        <f t="shared" si="1"/>
        <v>97799.489597008025</v>
      </c>
      <c r="T15" s="61">
        <f t="shared" si="1"/>
        <v>105486.91078613303</v>
      </c>
      <c r="U15" s="61">
        <f t="shared" si="1"/>
        <v>113597.79170010498</v>
      </c>
      <c r="V15" s="61">
        <f t="shared" si="1"/>
        <v>122138.4842347965</v>
      </c>
      <c r="W15" s="61">
        <f t="shared" si="1"/>
        <v>131115.43556451844</v>
      </c>
      <c r="X15" s="61">
        <f t="shared" si="1"/>
        <v>140535.18957119621</v>
      </c>
      <c r="Y15" s="61">
        <f t="shared" si="1"/>
        <v>150404.38829498415</v>
      </c>
      <c r="Z15" s="78">
        <f t="shared" si="1"/>
        <v>160729.77340663888</v>
      </c>
    </row>
    <row r="16" spans="1:26" s="2" customFormat="1" thickBot="1" x14ac:dyDescent="0.35">
      <c r="A16" s="67" t="s">
        <v>32</v>
      </c>
      <c r="B16" s="79">
        <f>B10+B15</f>
        <v>318468.09599999996</v>
      </c>
      <c r="C16" s="80">
        <f>C10+C15</f>
        <v>306462.22011599992</v>
      </c>
      <c r="D16" s="80">
        <f t="shared" ref="D16:Y16" si="2">D10+D15</f>
        <v>294785.36612075003</v>
      </c>
      <c r="E16" s="80">
        <f t="shared" si="2"/>
        <v>283442.21153258125</v>
      </c>
      <c r="F16" s="80">
        <f t="shared" si="2"/>
        <v>272437.7618425999</v>
      </c>
      <c r="G16" s="80">
        <f t="shared" si="2"/>
        <v>263219.09762427892</v>
      </c>
      <c r="H16" s="80">
        <f t="shared" si="2"/>
        <v>254349.37565969309</v>
      </c>
      <c r="I16" s="80">
        <f t="shared" si="2"/>
        <v>245833.83008264843</v>
      </c>
      <c r="J16" s="244">
        <f t="shared" si="2"/>
        <v>237677.77353895805</v>
      </c>
      <c r="K16" s="80">
        <f t="shared" si="2"/>
        <v>229886.5983641225</v>
      </c>
      <c r="L16" s="80">
        <f t="shared" si="2"/>
        <v>222465.77777867438</v>
      </c>
      <c r="M16" s="80">
        <f t="shared" si="2"/>
        <v>215420.86710145447</v>
      </c>
      <c r="N16" s="80">
        <f t="shared" si="2"/>
        <v>208757.50498108627</v>
      </c>
      <c r="O16" s="80">
        <f t="shared" si="2"/>
        <v>202481.41464592254</v>
      </c>
      <c r="P16" s="80">
        <f t="shared" si="2"/>
        <v>196598.4051727413</v>
      </c>
      <c r="Q16" s="80">
        <f t="shared" si="2"/>
        <v>191114.37277447234</v>
      </c>
      <c r="R16" s="80">
        <f t="shared" si="2"/>
        <v>186035.30210723937</v>
      </c>
      <c r="S16" s="80">
        <f t="shared" si="2"/>
        <v>181367.26759700791</v>
      </c>
      <c r="T16" s="80">
        <f t="shared" si="2"/>
        <v>177116.43478613289</v>
      </c>
      <c r="U16" s="80">
        <f t="shared" si="2"/>
        <v>173289.06170010482</v>
      </c>
      <c r="V16" s="80">
        <f t="shared" si="2"/>
        <v>169891.50023479632</v>
      </c>
      <c r="W16" s="80">
        <f t="shared" si="2"/>
        <v>166930.19756451825</v>
      </c>
      <c r="X16" s="80">
        <f t="shared" si="2"/>
        <v>164411.69757119601</v>
      </c>
      <c r="Y16" s="80">
        <f t="shared" si="2"/>
        <v>162342.64229498393</v>
      </c>
      <c r="Z16" s="81">
        <f>Z10+Z15</f>
        <v>160729.77340663888</v>
      </c>
    </row>
    <row r="17" spans="1:26" ht="14.45" x14ac:dyDescent="0.3">
      <c r="A17" s="288"/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6" ht="2.1" customHeight="1" thickBot="1" x14ac:dyDescent="0.35">
      <c r="A18" s="68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139"/>
      <c r="V18" s="139"/>
      <c r="W18" s="139"/>
      <c r="X18" s="139"/>
      <c r="Y18" s="139"/>
      <c r="Z18" s="139"/>
    </row>
    <row r="19" spans="1:26" s="2" customFormat="1" ht="14.45" x14ac:dyDescent="0.3">
      <c r="A19" s="6" t="s">
        <v>33</v>
      </c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140"/>
      <c r="V19" s="140"/>
      <c r="W19" s="140"/>
      <c r="X19" s="140"/>
      <c r="Y19" s="140"/>
      <c r="Z19" s="85"/>
    </row>
    <row r="20" spans="1:26" ht="2.1" customHeight="1" thickBot="1" x14ac:dyDescent="0.35">
      <c r="A20" s="69"/>
      <c r="B20" s="156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139"/>
      <c r="V20" s="139"/>
      <c r="W20" s="139"/>
      <c r="X20" s="139"/>
      <c r="Y20" s="139"/>
      <c r="Z20" s="157"/>
    </row>
    <row r="21" spans="1:26" ht="14.45" x14ac:dyDescent="0.3">
      <c r="A21" s="66" t="s">
        <v>34</v>
      </c>
      <c r="B21" s="158">
        <v>10000</v>
      </c>
      <c r="C21" s="158">
        <v>10000</v>
      </c>
      <c r="D21" s="158">
        <v>10000</v>
      </c>
      <c r="E21" s="158">
        <v>10000</v>
      </c>
      <c r="F21" s="158">
        <v>10000</v>
      </c>
      <c r="G21" s="158">
        <v>10000</v>
      </c>
      <c r="H21" s="158">
        <v>10000</v>
      </c>
      <c r="I21" s="158">
        <v>10000</v>
      </c>
      <c r="J21" s="158">
        <v>10000</v>
      </c>
      <c r="K21" s="158">
        <v>10000</v>
      </c>
      <c r="L21" s="158">
        <v>10000</v>
      </c>
      <c r="M21" s="158">
        <v>10000</v>
      </c>
      <c r="N21" s="158">
        <v>10000</v>
      </c>
      <c r="O21" s="158">
        <v>10000</v>
      </c>
      <c r="P21" s="158">
        <v>10000</v>
      </c>
      <c r="Q21" s="158">
        <v>10000</v>
      </c>
      <c r="R21" s="158">
        <v>10000</v>
      </c>
      <c r="S21" s="158">
        <v>10000</v>
      </c>
      <c r="T21" s="158">
        <v>10000</v>
      </c>
      <c r="U21" s="158">
        <v>10000</v>
      </c>
      <c r="V21" s="158">
        <v>10000</v>
      </c>
      <c r="W21" s="158">
        <v>10000</v>
      </c>
      <c r="X21" s="158">
        <v>10000</v>
      </c>
      <c r="Y21" s="158">
        <v>10000</v>
      </c>
      <c r="Z21" s="158">
        <v>10000</v>
      </c>
    </row>
    <row r="22" spans="1:26" ht="14.45" x14ac:dyDescent="0.3">
      <c r="A22" s="66" t="s">
        <v>35</v>
      </c>
      <c r="B22" s="75">
        <v>0</v>
      </c>
      <c r="C22" s="60">
        <f>B23</f>
        <v>11.745999999999185</v>
      </c>
      <c r="D22" s="60">
        <f>C23+C22</f>
        <v>344.12411599999859</v>
      </c>
      <c r="E22" s="60">
        <f t="shared" ref="E22:Z22" si="3">D23+D22</f>
        <v>1005.2701207500115</v>
      </c>
      <c r="F22" s="60">
        <f t="shared" si="3"/>
        <v>2000.115532581261</v>
      </c>
      <c r="G22" s="60">
        <f t="shared" si="3"/>
        <v>3333.6658425999508</v>
      </c>
      <c r="H22" s="60">
        <f t="shared" si="3"/>
        <v>6453.0016242789143</v>
      </c>
      <c r="I22" s="60">
        <f t="shared" si="3"/>
        <v>9921.2796596930784</v>
      </c>
      <c r="J22" s="60">
        <f t="shared" si="3"/>
        <v>13743.734082648445</v>
      </c>
      <c r="K22" s="60">
        <f t="shared" si="3"/>
        <v>17925.677538958076</v>
      </c>
      <c r="L22" s="60">
        <f t="shared" si="3"/>
        <v>22472.50236412252</v>
      </c>
      <c r="M22" s="60">
        <f t="shared" si="3"/>
        <v>27389.681778674392</v>
      </c>
      <c r="N22" s="60">
        <f t="shared" si="3"/>
        <v>32682.771101454498</v>
      </c>
      <c r="O22" s="60">
        <f t="shared" si="3"/>
        <v>38357.408981086293</v>
      </c>
      <c r="P22" s="60">
        <f t="shared" si="3"/>
        <v>44419.318645922591</v>
      </c>
      <c r="Q22" s="60">
        <f t="shared" si="3"/>
        <v>50874.309172741356</v>
      </c>
      <c r="R22" s="60">
        <f t="shared" si="3"/>
        <v>57728.276774472397</v>
      </c>
      <c r="S22" s="60">
        <f t="shared" si="3"/>
        <v>64987.206107239457</v>
      </c>
      <c r="T22" s="60">
        <f t="shared" si="3"/>
        <v>72657.171597007997</v>
      </c>
      <c r="U22" s="60">
        <f t="shared" si="3"/>
        <v>80744.338786132983</v>
      </c>
      <c r="V22" s="60">
        <f t="shared" si="3"/>
        <v>89254.965700104949</v>
      </c>
      <c r="W22" s="60">
        <f t="shared" si="3"/>
        <v>98195.404234796471</v>
      </c>
      <c r="X22" s="60">
        <f t="shared" si="3"/>
        <v>107572.10156451842</v>
      </c>
      <c r="Y22" s="60">
        <f t="shared" si="3"/>
        <v>117391.6015711962</v>
      </c>
      <c r="Z22" s="60">
        <f t="shared" si="3"/>
        <v>127660.54629498413</v>
      </c>
    </row>
    <row r="23" spans="1:26" ht="14.45" x14ac:dyDescent="0.3">
      <c r="A23" s="66" t="s">
        <v>36</v>
      </c>
      <c r="B23" s="75">
        <f>'Conto Economico prospettico'!B34</f>
        <v>11.745999999999185</v>
      </c>
      <c r="C23" s="60">
        <f>'Conto Economico prospettico'!C34</f>
        <v>332.37811599999941</v>
      </c>
      <c r="D23" s="60">
        <f>'Conto Economico prospettico'!D34</f>
        <v>661.14600475001293</v>
      </c>
      <c r="E23" s="60">
        <f>'Conto Economico prospettico'!E34</f>
        <v>994.84541183124963</v>
      </c>
      <c r="F23" s="60">
        <f>'Conto Economico prospettico'!F34</f>
        <v>1333.5503100186897</v>
      </c>
      <c r="G23" s="60">
        <f>'Conto Economico prospettico'!G34</f>
        <v>3119.3357816789635</v>
      </c>
      <c r="H23" s="60">
        <f>'Conto Economico prospettico'!H34</f>
        <v>3468.2780354141642</v>
      </c>
      <c r="I23" s="60">
        <f>'Conto Economico prospettico'!I34</f>
        <v>3822.4544229553667</v>
      </c>
      <c r="J23" s="60">
        <f>'Conto Economico prospettico'!J34</f>
        <v>4181.9434563096311</v>
      </c>
      <c r="K23" s="60">
        <f>'Conto Economico prospettico'!K34</f>
        <v>4546.8248251644418</v>
      </c>
      <c r="L23" s="60">
        <f>'Conto Economico prospettico'!L34</f>
        <v>4917.1794145518734</v>
      </c>
      <c r="M23" s="60">
        <f>'Conto Economico prospettico'!M34</f>
        <v>5293.0893227801043</v>
      </c>
      <c r="N23" s="60">
        <f>'Conto Economico prospettico'!N34</f>
        <v>5674.6378796317931</v>
      </c>
      <c r="O23" s="60">
        <f>'Conto Economico prospettico'!O34</f>
        <v>6061.9096648362993</v>
      </c>
      <c r="P23" s="60">
        <f>'Conto Economico prospettico'!P34</f>
        <v>6454.9905268187631</v>
      </c>
      <c r="Q23" s="60">
        <f>'Conto Economico prospettico'!Q34</f>
        <v>6853.967601731043</v>
      </c>
      <c r="R23" s="60">
        <f>'Conto Economico prospettico'!R34</f>
        <v>7258.9293327670621</v>
      </c>
      <c r="S23" s="60">
        <f>'Conto Economico prospettico'!S34</f>
        <v>7669.9654897685414</v>
      </c>
      <c r="T23" s="60">
        <f>'Conto Economico prospettico'!T34</f>
        <v>8087.1671891249935</v>
      </c>
      <c r="U23" s="60">
        <f>'Conto Economico prospettico'!U34</f>
        <v>8510.6269139719589</v>
      </c>
      <c r="V23" s="60">
        <f>'Conto Economico prospettico'!V34</f>
        <v>8940.4385346915187</v>
      </c>
      <c r="W23" s="60">
        <f>'Conto Economico prospettico'!W34</f>
        <v>9376.6973297219483</v>
      </c>
      <c r="X23" s="60">
        <f>'Conto Economico prospettico'!X34</f>
        <v>9819.5000066777666</v>
      </c>
      <c r="Y23" s="60">
        <f>'Conto Economico prospettico'!Y34</f>
        <v>10268.944723787941</v>
      </c>
      <c r="Z23" s="76">
        <f>'Conto Economico prospettico'!Z34</f>
        <v>10725.131111654724</v>
      </c>
    </row>
    <row r="24" spans="1:26" ht="3" customHeight="1" x14ac:dyDescent="0.3">
      <c r="A24" s="66"/>
      <c r="B24" s="75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76"/>
    </row>
    <row r="25" spans="1:26" s="2" customFormat="1" ht="14.45" x14ac:dyDescent="0.3">
      <c r="A25" s="7" t="s">
        <v>37</v>
      </c>
      <c r="B25" s="77">
        <f t="shared" ref="B25:T25" si="4">SUM(B21:B23)</f>
        <v>10011.745999999999</v>
      </c>
      <c r="C25" s="61">
        <f t="shared" si="4"/>
        <v>10344.124115999999</v>
      </c>
      <c r="D25" s="61">
        <f t="shared" si="4"/>
        <v>11005.270120750012</v>
      </c>
      <c r="E25" s="61">
        <f t="shared" si="4"/>
        <v>12000.115532581262</v>
      </c>
      <c r="F25" s="61">
        <f t="shared" si="4"/>
        <v>13333.665842599952</v>
      </c>
      <c r="G25" s="61">
        <f t="shared" si="4"/>
        <v>16453.001624278913</v>
      </c>
      <c r="H25" s="61">
        <f t="shared" si="4"/>
        <v>19921.279659693078</v>
      </c>
      <c r="I25" s="61">
        <f t="shared" si="4"/>
        <v>23743.734082648443</v>
      </c>
      <c r="J25" s="61">
        <f t="shared" si="4"/>
        <v>27925.677538958073</v>
      </c>
      <c r="K25" s="61">
        <f t="shared" si="4"/>
        <v>32472.50236412252</v>
      </c>
      <c r="L25" s="61">
        <f t="shared" si="4"/>
        <v>37389.681778674392</v>
      </c>
      <c r="M25" s="61">
        <f t="shared" si="4"/>
        <v>42682.771101454498</v>
      </c>
      <c r="N25" s="61">
        <f t="shared" si="4"/>
        <v>48357.408981086293</v>
      </c>
      <c r="O25" s="61">
        <f t="shared" si="4"/>
        <v>54419.318645922591</v>
      </c>
      <c r="P25" s="61">
        <f t="shared" si="4"/>
        <v>60874.309172741356</v>
      </c>
      <c r="Q25" s="61">
        <f t="shared" si="4"/>
        <v>67728.276774472397</v>
      </c>
      <c r="R25" s="61">
        <f t="shared" si="4"/>
        <v>74987.206107239457</v>
      </c>
      <c r="S25" s="61">
        <f t="shared" si="4"/>
        <v>82657.171597007997</v>
      </c>
      <c r="T25" s="61">
        <f t="shared" si="4"/>
        <v>90744.338786132983</v>
      </c>
      <c r="U25" s="61">
        <f t="shared" ref="U25:Z25" si="5">SUM(U21:U23)</f>
        <v>99254.965700104949</v>
      </c>
      <c r="V25" s="61">
        <f t="shared" si="5"/>
        <v>108195.40423479647</v>
      </c>
      <c r="W25" s="61">
        <f t="shared" si="5"/>
        <v>117572.10156451842</v>
      </c>
      <c r="X25" s="61">
        <f t="shared" si="5"/>
        <v>127391.6015711962</v>
      </c>
      <c r="Y25" s="61">
        <f t="shared" si="5"/>
        <v>137660.54629498415</v>
      </c>
      <c r="Z25" s="78">
        <f t="shared" si="5"/>
        <v>148385.67740663883</v>
      </c>
    </row>
    <row r="26" spans="1:26" ht="3" customHeight="1" x14ac:dyDescent="0.3">
      <c r="A26" s="66"/>
      <c r="B26" s="75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76"/>
    </row>
    <row r="27" spans="1:26" ht="14.45" x14ac:dyDescent="0.3">
      <c r="A27" s="169" t="s">
        <v>83</v>
      </c>
      <c r="B27" s="75">
        <f>B44</f>
        <v>12338.253999999999</v>
      </c>
      <c r="C27" s="75">
        <f t="shared" ref="C27:Z27" si="6">C44</f>
        <v>12338.253999999999</v>
      </c>
      <c r="D27" s="75">
        <f t="shared" si="6"/>
        <v>12338.253999999999</v>
      </c>
      <c r="E27" s="75">
        <f t="shared" si="6"/>
        <v>12338.253999999999</v>
      </c>
      <c r="F27" s="75">
        <f t="shared" si="6"/>
        <v>12338.253999999999</v>
      </c>
      <c r="G27" s="75">
        <f t="shared" si="6"/>
        <v>12338.253999999999</v>
      </c>
      <c r="H27" s="75">
        <f t="shared" si="6"/>
        <v>12338.253999999999</v>
      </c>
      <c r="I27" s="75">
        <f t="shared" si="6"/>
        <v>12338.253999999999</v>
      </c>
      <c r="J27" s="75">
        <f t="shared" si="6"/>
        <v>12338.253999999999</v>
      </c>
      <c r="K27" s="75">
        <f t="shared" si="6"/>
        <v>12338.253999999999</v>
      </c>
      <c r="L27" s="75">
        <f t="shared" si="6"/>
        <v>12338.253999999999</v>
      </c>
      <c r="M27" s="75">
        <f t="shared" si="6"/>
        <v>12338.253999999999</v>
      </c>
      <c r="N27" s="75">
        <f t="shared" si="6"/>
        <v>12338.253999999999</v>
      </c>
      <c r="O27" s="75">
        <f t="shared" si="6"/>
        <v>12338.253999999999</v>
      </c>
      <c r="P27" s="75">
        <f t="shared" si="6"/>
        <v>12338.253999999999</v>
      </c>
      <c r="Q27" s="75">
        <f t="shared" si="6"/>
        <v>12338.253999999999</v>
      </c>
      <c r="R27" s="75">
        <f t="shared" si="6"/>
        <v>12338.253999999999</v>
      </c>
      <c r="S27" s="75">
        <f t="shared" si="6"/>
        <v>12338.253999999999</v>
      </c>
      <c r="T27" s="75">
        <f t="shared" si="6"/>
        <v>12338.253999999999</v>
      </c>
      <c r="U27" s="75">
        <f t="shared" si="6"/>
        <v>12338.253999999999</v>
      </c>
      <c r="V27" s="75">
        <f t="shared" si="6"/>
        <v>12338.253999999999</v>
      </c>
      <c r="W27" s="75">
        <f t="shared" si="6"/>
        <v>12338.253999999999</v>
      </c>
      <c r="X27" s="75">
        <f t="shared" si="6"/>
        <v>12338.253999999999</v>
      </c>
      <c r="Y27" s="75">
        <f t="shared" si="6"/>
        <v>12338.253999999999</v>
      </c>
      <c r="Z27" s="75">
        <f t="shared" si="6"/>
        <v>12338.253999999999</v>
      </c>
    </row>
    <row r="28" spans="1:26" ht="14.45" x14ac:dyDescent="0.3">
      <c r="A28" s="169" t="s">
        <v>84</v>
      </c>
      <c r="B28" s="75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76"/>
    </row>
    <row r="29" spans="1:26" ht="14.45" x14ac:dyDescent="0.3">
      <c r="A29" s="66" t="s">
        <v>38</v>
      </c>
      <c r="B29" s="75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0">
        <v>0</v>
      </c>
      <c r="Z29" s="76">
        <v>0</v>
      </c>
    </row>
    <row r="30" spans="1:26" ht="3" customHeight="1" x14ac:dyDescent="0.3">
      <c r="A30" s="66"/>
      <c r="B30" s="75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76"/>
    </row>
    <row r="31" spans="1:26" s="2" customFormat="1" ht="14.45" x14ac:dyDescent="0.3">
      <c r="A31" s="7" t="s">
        <v>39</v>
      </c>
      <c r="B31" s="77">
        <f t="shared" ref="B31:Z31" si="7">SUM(B27:B29)</f>
        <v>12338.253999999999</v>
      </c>
      <c r="C31" s="61">
        <f t="shared" si="7"/>
        <v>12338.253999999999</v>
      </c>
      <c r="D31" s="61">
        <f t="shared" si="7"/>
        <v>12338.253999999999</v>
      </c>
      <c r="E31" s="61">
        <f t="shared" si="7"/>
        <v>12338.253999999999</v>
      </c>
      <c r="F31" s="61">
        <f t="shared" si="7"/>
        <v>12338.253999999999</v>
      </c>
      <c r="G31" s="61">
        <f t="shared" si="7"/>
        <v>12338.253999999999</v>
      </c>
      <c r="H31" s="61">
        <f t="shared" si="7"/>
        <v>12338.253999999999</v>
      </c>
      <c r="I31" s="61">
        <f t="shared" si="7"/>
        <v>12338.253999999999</v>
      </c>
      <c r="J31" s="61">
        <f t="shared" si="7"/>
        <v>12338.253999999999</v>
      </c>
      <c r="K31" s="61">
        <f t="shared" si="7"/>
        <v>12338.253999999999</v>
      </c>
      <c r="L31" s="61">
        <f t="shared" si="7"/>
        <v>12338.253999999999</v>
      </c>
      <c r="M31" s="61">
        <f t="shared" si="7"/>
        <v>12338.253999999999</v>
      </c>
      <c r="N31" s="61">
        <f t="shared" si="7"/>
        <v>12338.253999999999</v>
      </c>
      <c r="O31" s="61">
        <f t="shared" si="7"/>
        <v>12338.253999999999</v>
      </c>
      <c r="P31" s="61">
        <f t="shared" si="7"/>
        <v>12338.253999999999</v>
      </c>
      <c r="Q31" s="61">
        <f t="shared" si="7"/>
        <v>12338.253999999999</v>
      </c>
      <c r="R31" s="61">
        <f t="shared" si="7"/>
        <v>12338.253999999999</v>
      </c>
      <c r="S31" s="61">
        <f t="shared" si="7"/>
        <v>12338.253999999999</v>
      </c>
      <c r="T31" s="61">
        <f t="shared" si="7"/>
        <v>12338.253999999999</v>
      </c>
      <c r="U31" s="61">
        <f t="shared" si="7"/>
        <v>12338.253999999999</v>
      </c>
      <c r="V31" s="61">
        <f t="shared" si="7"/>
        <v>12338.253999999999</v>
      </c>
      <c r="W31" s="61">
        <f t="shared" si="7"/>
        <v>12338.253999999999</v>
      </c>
      <c r="X31" s="61">
        <f t="shared" si="7"/>
        <v>12338.253999999999</v>
      </c>
      <c r="Y31" s="61">
        <f t="shared" si="7"/>
        <v>12338.253999999999</v>
      </c>
      <c r="Z31" s="78">
        <f t="shared" si="7"/>
        <v>12338.253999999999</v>
      </c>
    </row>
    <row r="32" spans="1:26" ht="3" customHeight="1" x14ac:dyDescent="0.3">
      <c r="A32" s="66"/>
      <c r="B32" s="75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76"/>
    </row>
    <row r="33" spans="1:26" ht="14.45" x14ac:dyDescent="0.3">
      <c r="A33" s="66" t="s">
        <v>75</v>
      </c>
      <c r="B33" s="75">
        <f>B45</f>
        <v>296118.09599999996</v>
      </c>
      <c r="C33" s="60">
        <f>C45</f>
        <v>283779.84199999995</v>
      </c>
      <c r="D33" s="60">
        <f t="shared" ref="D33:Z33" si="8">D45</f>
        <v>271441.58799999993</v>
      </c>
      <c r="E33" s="60">
        <f t="shared" si="8"/>
        <v>259103.33399999994</v>
      </c>
      <c r="F33" s="60">
        <f t="shared" si="8"/>
        <v>246765.07999999996</v>
      </c>
      <c r="G33" s="60">
        <f t="shared" si="8"/>
        <v>234426.82599999997</v>
      </c>
      <c r="H33" s="60">
        <f t="shared" si="8"/>
        <v>222088.57199999999</v>
      </c>
      <c r="I33" s="60">
        <f t="shared" si="8"/>
        <v>209750.318</v>
      </c>
      <c r="J33" s="60">
        <f t="shared" si="8"/>
        <v>197412.06400000001</v>
      </c>
      <c r="K33" s="60">
        <f t="shared" si="8"/>
        <v>185073.81000000003</v>
      </c>
      <c r="L33" s="60">
        <f t="shared" si="8"/>
        <v>172735.55600000004</v>
      </c>
      <c r="M33" s="60">
        <f t="shared" si="8"/>
        <v>160397.30200000005</v>
      </c>
      <c r="N33" s="60">
        <f t="shared" si="8"/>
        <v>148059.04800000007</v>
      </c>
      <c r="O33" s="60">
        <f t="shared" si="8"/>
        <v>135720.79400000008</v>
      </c>
      <c r="P33" s="60">
        <f t="shared" si="8"/>
        <v>123382.54000000008</v>
      </c>
      <c r="Q33" s="60">
        <f t="shared" si="8"/>
        <v>111044.28600000008</v>
      </c>
      <c r="R33" s="60">
        <f t="shared" si="8"/>
        <v>98706.032000000079</v>
      </c>
      <c r="S33" s="60">
        <f t="shared" si="8"/>
        <v>86367.778000000078</v>
      </c>
      <c r="T33" s="60">
        <f t="shared" si="8"/>
        <v>74029.524000000078</v>
      </c>
      <c r="U33" s="60">
        <f t="shared" si="8"/>
        <v>61691.270000000077</v>
      </c>
      <c r="V33" s="60">
        <f t="shared" si="8"/>
        <v>49353.016000000076</v>
      </c>
      <c r="W33" s="60">
        <f t="shared" si="8"/>
        <v>37014.762000000075</v>
      </c>
      <c r="X33" s="60">
        <f t="shared" si="8"/>
        <v>24676.508000000074</v>
      </c>
      <c r="Y33" s="60">
        <f t="shared" si="8"/>
        <v>12338.254000000075</v>
      </c>
      <c r="Z33" s="76">
        <f t="shared" si="8"/>
        <v>7.6397554948925972E-11</v>
      </c>
    </row>
    <row r="34" spans="1:26" ht="3" customHeight="1" x14ac:dyDescent="0.3">
      <c r="A34" s="66"/>
      <c r="B34" s="75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76"/>
    </row>
    <row r="35" spans="1:26" s="2" customFormat="1" ht="14.45" x14ac:dyDescent="0.3">
      <c r="A35" s="7" t="s">
        <v>40</v>
      </c>
      <c r="B35" s="77">
        <f>B33</f>
        <v>296118.09599999996</v>
      </c>
      <c r="C35" s="61">
        <f>C33</f>
        <v>283779.84199999995</v>
      </c>
      <c r="D35" s="61">
        <f t="shared" ref="D35:T35" si="9">D33</f>
        <v>271441.58799999993</v>
      </c>
      <c r="E35" s="61">
        <f t="shared" si="9"/>
        <v>259103.33399999994</v>
      </c>
      <c r="F35" s="61">
        <f t="shared" si="9"/>
        <v>246765.07999999996</v>
      </c>
      <c r="G35" s="61">
        <f t="shared" si="9"/>
        <v>234426.82599999997</v>
      </c>
      <c r="H35" s="61">
        <f t="shared" si="9"/>
        <v>222088.57199999999</v>
      </c>
      <c r="I35" s="61">
        <f t="shared" si="9"/>
        <v>209750.318</v>
      </c>
      <c r="J35" s="61">
        <f t="shared" si="9"/>
        <v>197412.06400000001</v>
      </c>
      <c r="K35" s="61">
        <f t="shared" si="9"/>
        <v>185073.81000000003</v>
      </c>
      <c r="L35" s="61">
        <f t="shared" si="9"/>
        <v>172735.55600000004</v>
      </c>
      <c r="M35" s="61">
        <f t="shared" si="9"/>
        <v>160397.30200000005</v>
      </c>
      <c r="N35" s="61">
        <f t="shared" si="9"/>
        <v>148059.04800000007</v>
      </c>
      <c r="O35" s="61">
        <f t="shared" si="9"/>
        <v>135720.79400000008</v>
      </c>
      <c r="P35" s="61">
        <f t="shared" si="9"/>
        <v>123382.54000000008</v>
      </c>
      <c r="Q35" s="61">
        <f t="shared" si="9"/>
        <v>111044.28600000008</v>
      </c>
      <c r="R35" s="61">
        <f t="shared" si="9"/>
        <v>98706.032000000079</v>
      </c>
      <c r="S35" s="61">
        <f t="shared" si="9"/>
        <v>86367.778000000078</v>
      </c>
      <c r="T35" s="61">
        <f t="shared" si="9"/>
        <v>74029.524000000078</v>
      </c>
      <c r="U35" s="61">
        <f t="shared" ref="U35:Z35" si="10">U33</f>
        <v>61691.270000000077</v>
      </c>
      <c r="V35" s="61">
        <f t="shared" si="10"/>
        <v>49353.016000000076</v>
      </c>
      <c r="W35" s="61">
        <f t="shared" si="10"/>
        <v>37014.762000000075</v>
      </c>
      <c r="X35" s="61">
        <f t="shared" si="10"/>
        <v>24676.508000000074</v>
      </c>
      <c r="Y35" s="61">
        <f t="shared" si="10"/>
        <v>12338.254000000075</v>
      </c>
      <c r="Z35" s="78">
        <f t="shared" si="10"/>
        <v>7.6397554948925972E-11</v>
      </c>
    </row>
    <row r="36" spans="1:26" ht="3" customHeight="1" x14ac:dyDescent="0.3">
      <c r="A36" s="66"/>
      <c r="B36" s="75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76"/>
    </row>
    <row r="37" spans="1:26" s="2" customFormat="1" ht="14.45" x14ac:dyDescent="0.3">
      <c r="A37" s="7" t="s">
        <v>41</v>
      </c>
      <c r="B37" s="77">
        <f t="shared" ref="B37:Z37" si="11">B31+B35</f>
        <v>308456.34999999998</v>
      </c>
      <c r="C37" s="61">
        <f t="shared" si="11"/>
        <v>296118.09599999996</v>
      </c>
      <c r="D37" s="61">
        <f t="shared" si="11"/>
        <v>283779.84199999995</v>
      </c>
      <c r="E37" s="61">
        <f t="shared" si="11"/>
        <v>271441.58799999993</v>
      </c>
      <c r="F37" s="61">
        <f t="shared" si="11"/>
        <v>259103.33399999994</v>
      </c>
      <c r="G37" s="61">
        <f t="shared" si="11"/>
        <v>246765.07999999996</v>
      </c>
      <c r="H37" s="61">
        <f t="shared" si="11"/>
        <v>234426.82599999997</v>
      </c>
      <c r="I37" s="61">
        <f t="shared" si="11"/>
        <v>222088.57199999999</v>
      </c>
      <c r="J37" s="61">
        <f t="shared" si="11"/>
        <v>209750.318</v>
      </c>
      <c r="K37" s="61">
        <f t="shared" si="11"/>
        <v>197412.06400000001</v>
      </c>
      <c r="L37" s="61">
        <f t="shared" si="11"/>
        <v>185073.81000000003</v>
      </c>
      <c r="M37" s="61">
        <f t="shared" si="11"/>
        <v>172735.55600000004</v>
      </c>
      <c r="N37" s="61">
        <f t="shared" si="11"/>
        <v>160397.30200000005</v>
      </c>
      <c r="O37" s="61">
        <f t="shared" si="11"/>
        <v>148059.04800000007</v>
      </c>
      <c r="P37" s="61">
        <f t="shared" si="11"/>
        <v>135720.79400000008</v>
      </c>
      <c r="Q37" s="61">
        <f t="shared" si="11"/>
        <v>123382.54000000008</v>
      </c>
      <c r="R37" s="61">
        <f t="shared" si="11"/>
        <v>111044.28600000008</v>
      </c>
      <c r="S37" s="61">
        <f t="shared" si="11"/>
        <v>98706.032000000079</v>
      </c>
      <c r="T37" s="61">
        <f t="shared" si="11"/>
        <v>86367.778000000078</v>
      </c>
      <c r="U37" s="61">
        <f t="shared" si="11"/>
        <v>74029.524000000078</v>
      </c>
      <c r="V37" s="61">
        <f t="shared" si="11"/>
        <v>61691.270000000077</v>
      </c>
      <c r="W37" s="61">
        <f t="shared" si="11"/>
        <v>49353.016000000076</v>
      </c>
      <c r="X37" s="61">
        <f t="shared" si="11"/>
        <v>37014.762000000075</v>
      </c>
      <c r="Y37" s="61">
        <f t="shared" si="11"/>
        <v>24676.508000000074</v>
      </c>
      <c r="Z37" s="78">
        <f t="shared" si="11"/>
        <v>12338.254000000075</v>
      </c>
    </row>
    <row r="38" spans="1:26" ht="3" customHeight="1" x14ac:dyDescent="0.3">
      <c r="A38" s="66"/>
      <c r="B38" s="75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76"/>
    </row>
    <row r="39" spans="1:26" s="2" customFormat="1" thickBot="1" x14ac:dyDescent="0.35">
      <c r="A39" s="67" t="s">
        <v>42</v>
      </c>
      <c r="B39" s="79">
        <f t="shared" ref="B39:D39" si="12">B25+B37</f>
        <v>318468.09599999996</v>
      </c>
      <c r="C39" s="80">
        <f t="shared" si="12"/>
        <v>306462.22011599998</v>
      </c>
      <c r="D39" s="80">
        <f t="shared" si="12"/>
        <v>294785.11212074995</v>
      </c>
      <c r="E39" s="80">
        <v>283442</v>
      </c>
      <c r="F39" s="80">
        <v>272438</v>
      </c>
      <c r="G39" s="80">
        <v>263219</v>
      </c>
      <c r="H39" s="80">
        <v>254349</v>
      </c>
      <c r="I39" s="80">
        <v>245834</v>
      </c>
      <c r="J39" s="80">
        <v>237678</v>
      </c>
      <c r="K39" s="80">
        <v>229887</v>
      </c>
      <c r="L39" s="80">
        <v>222466</v>
      </c>
      <c r="M39" s="80">
        <v>215421</v>
      </c>
      <c r="N39" s="80">
        <v>208758</v>
      </c>
      <c r="O39" s="80">
        <v>202481</v>
      </c>
      <c r="P39" s="80">
        <v>196598</v>
      </c>
      <c r="Q39" s="80">
        <v>191114</v>
      </c>
      <c r="R39" s="80">
        <v>186035</v>
      </c>
      <c r="S39" s="80">
        <v>181367</v>
      </c>
      <c r="T39" s="80">
        <v>177116</v>
      </c>
      <c r="U39" s="80">
        <v>173289</v>
      </c>
      <c r="V39" s="80">
        <v>169892</v>
      </c>
      <c r="W39" s="80">
        <v>166930</v>
      </c>
      <c r="X39" s="80">
        <v>164412</v>
      </c>
      <c r="Y39" s="80">
        <v>162343</v>
      </c>
      <c r="Z39" s="81">
        <v>160730</v>
      </c>
    </row>
    <row r="41" spans="1:26" x14ac:dyDescent="0.25">
      <c r="A41" t="s">
        <v>85</v>
      </c>
      <c r="B41" s="29">
        <f t="shared" ref="B41:Z41" si="13">B16-B39</f>
        <v>0</v>
      </c>
      <c r="C41" s="29">
        <f t="shared" si="13"/>
        <v>0</v>
      </c>
      <c r="D41" s="29">
        <f t="shared" si="13"/>
        <v>0.25400000007357448</v>
      </c>
      <c r="E41" s="29">
        <f t="shared" si="13"/>
        <v>0.21153258124832064</v>
      </c>
      <c r="F41" s="29">
        <f t="shared" si="13"/>
        <v>-0.23815740010468289</v>
      </c>
      <c r="G41" s="29">
        <f t="shared" si="13"/>
        <v>9.762427891837433E-2</v>
      </c>
      <c r="H41" s="29">
        <f t="shared" si="13"/>
        <v>0.37565969309071079</v>
      </c>
      <c r="I41" s="29">
        <f t="shared" si="13"/>
        <v>-0.16991735156625509</v>
      </c>
      <c r="J41" s="29">
        <f t="shared" si="13"/>
        <v>-0.22646104195155203</v>
      </c>
      <c r="K41" s="29">
        <f t="shared" si="13"/>
        <v>-0.40163587749702856</v>
      </c>
      <c r="L41" s="29">
        <f t="shared" si="13"/>
        <v>-0.22222132561728358</v>
      </c>
      <c r="M41" s="29">
        <f t="shared" si="13"/>
        <v>-0.13289854553295299</v>
      </c>
      <c r="N41" s="29">
        <f t="shared" si="13"/>
        <v>-0.49501891373074614</v>
      </c>
      <c r="O41" s="29">
        <f t="shared" si="13"/>
        <v>0.41464592254487798</v>
      </c>
      <c r="P41" s="29">
        <f t="shared" si="13"/>
        <v>0.4051727413025219</v>
      </c>
      <c r="Q41" s="29">
        <f t="shared" si="13"/>
        <v>0.3727744723437354</v>
      </c>
      <c r="R41" s="29">
        <f t="shared" si="13"/>
        <v>0.30210723937489092</v>
      </c>
      <c r="S41" s="29">
        <f t="shared" si="13"/>
        <v>0.26759700791444629</v>
      </c>
      <c r="T41" s="29">
        <f t="shared" si="13"/>
        <v>0.43478613288607448</v>
      </c>
      <c r="U41" s="29">
        <f t="shared" si="13"/>
        <v>6.1700104823103175E-2</v>
      </c>
      <c r="V41" s="29">
        <f t="shared" si="13"/>
        <v>-0.49976520368363708</v>
      </c>
      <c r="W41" s="29">
        <f t="shared" si="13"/>
        <v>0.19756451825378463</v>
      </c>
      <c r="X41" s="29">
        <f t="shared" si="13"/>
        <v>-0.3024288039887324</v>
      </c>
      <c r="Y41" s="29">
        <f t="shared" si="13"/>
        <v>-0.35770501606748439</v>
      </c>
      <c r="Z41" s="29">
        <f t="shared" si="13"/>
        <v>-0.22659336111973971</v>
      </c>
    </row>
    <row r="42" spans="1:26" hidden="1" thickBot="1" x14ac:dyDescent="0.35"/>
    <row r="43" spans="1:26" ht="14.45" hidden="1" x14ac:dyDescent="0.3">
      <c r="A43" s="86" t="s">
        <v>75</v>
      </c>
      <c r="B43" s="180">
        <f>'Quadro Economico'!B18+10000</f>
        <v>308456.34999999998</v>
      </c>
      <c r="C43" s="181">
        <f>B45</f>
        <v>296118.09599999996</v>
      </c>
      <c r="D43" s="181">
        <f t="shared" ref="D43:Z43" si="14">C45</f>
        <v>283779.84199999995</v>
      </c>
      <c r="E43" s="181">
        <f t="shared" si="14"/>
        <v>271441.58799999993</v>
      </c>
      <c r="F43" s="181">
        <f t="shared" si="14"/>
        <v>259103.33399999994</v>
      </c>
      <c r="G43" s="181">
        <f t="shared" si="14"/>
        <v>246765.07999999996</v>
      </c>
      <c r="H43" s="181">
        <f t="shared" si="14"/>
        <v>234426.82599999997</v>
      </c>
      <c r="I43" s="181">
        <f t="shared" si="14"/>
        <v>222088.57199999999</v>
      </c>
      <c r="J43" s="181">
        <f t="shared" si="14"/>
        <v>209750.318</v>
      </c>
      <c r="K43" s="181">
        <f t="shared" si="14"/>
        <v>197412.06400000001</v>
      </c>
      <c r="L43" s="181">
        <f t="shared" si="14"/>
        <v>185073.81000000003</v>
      </c>
      <c r="M43" s="181">
        <f t="shared" si="14"/>
        <v>172735.55600000004</v>
      </c>
      <c r="N43" s="181">
        <f t="shared" si="14"/>
        <v>160397.30200000005</v>
      </c>
      <c r="O43" s="181">
        <f t="shared" si="14"/>
        <v>148059.04800000007</v>
      </c>
      <c r="P43" s="181">
        <f t="shared" si="14"/>
        <v>135720.79400000008</v>
      </c>
      <c r="Q43" s="181">
        <f t="shared" si="14"/>
        <v>123382.54000000008</v>
      </c>
      <c r="R43" s="181">
        <f t="shared" si="14"/>
        <v>111044.28600000008</v>
      </c>
      <c r="S43" s="181">
        <f t="shared" si="14"/>
        <v>98706.032000000079</v>
      </c>
      <c r="T43" s="181">
        <f t="shared" si="14"/>
        <v>86367.778000000078</v>
      </c>
      <c r="U43" s="181">
        <f t="shared" si="14"/>
        <v>74029.524000000078</v>
      </c>
      <c r="V43" s="181">
        <f t="shared" si="14"/>
        <v>61691.270000000077</v>
      </c>
      <c r="W43" s="181">
        <f t="shared" si="14"/>
        <v>49353.016000000076</v>
      </c>
      <c r="X43" s="181">
        <f t="shared" si="14"/>
        <v>37014.762000000075</v>
      </c>
      <c r="Y43" s="181">
        <f t="shared" si="14"/>
        <v>24676.508000000074</v>
      </c>
      <c r="Z43" s="182">
        <f t="shared" si="14"/>
        <v>12338.254000000075</v>
      </c>
    </row>
    <row r="44" spans="1:26" hidden="1" x14ac:dyDescent="0.25">
      <c r="A44" s="66" t="s">
        <v>76</v>
      </c>
      <c r="B44" s="17">
        <f>$B$43/25</f>
        <v>12338.253999999999</v>
      </c>
      <c r="C44" s="17">
        <f t="shared" ref="C44:Z44" si="15">$B$43/25</f>
        <v>12338.253999999999</v>
      </c>
      <c r="D44" s="17">
        <f t="shared" si="15"/>
        <v>12338.253999999999</v>
      </c>
      <c r="E44" s="17">
        <f t="shared" si="15"/>
        <v>12338.253999999999</v>
      </c>
      <c r="F44" s="17">
        <f t="shared" si="15"/>
        <v>12338.253999999999</v>
      </c>
      <c r="G44" s="17">
        <f t="shared" si="15"/>
        <v>12338.253999999999</v>
      </c>
      <c r="H44" s="17">
        <f t="shared" si="15"/>
        <v>12338.253999999999</v>
      </c>
      <c r="I44" s="17">
        <f t="shared" si="15"/>
        <v>12338.253999999999</v>
      </c>
      <c r="J44" s="17">
        <f t="shared" si="15"/>
        <v>12338.253999999999</v>
      </c>
      <c r="K44" s="17">
        <f t="shared" si="15"/>
        <v>12338.253999999999</v>
      </c>
      <c r="L44" s="17">
        <f t="shared" si="15"/>
        <v>12338.253999999999</v>
      </c>
      <c r="M44" s="17">
        <f t="shared" si="15"/>
        <v>12338.253999999999</v>
      </c>
      <c r="N44" s="17">
        <f t="shared" si="15"/>
        <v>12338.253999999999</v>
      </c>
      <c r="O44" s="17">
        <f t="shared" si="15"/>
        <v>12338.253999999999</v>
      </c>
      <c r="P44" s="17">
        <f t="shared" si="15"/>
        <v>12338.253999999999</v>
      </c>
      <c r="Q44" s="17">
        <f t="shared" si="15"/>
        <v>12338.253999999999</v>
      </c>
      <c r="R44" s="17">
        <f t="shared" si="15"/>
        <v>12338.253999999999</v>
      </c>
      <c r="S44" s="17">
        <f t="shared" si="15"/>
        <v>12338.253999999999</v>
      </c>
      <c r="T44" s="17">
        <f t="shared" si="15"/>
        <v>12338.253999999999</v>
      </c>
      <c r="U44" s="17">
        <f t="shared" si="15"/>
        <v>12338.253999999999</v>
      </c>
      <c r="V44" s="17">
        <f t="shared" si="15"/>
        <v>12338.253999999999</v>
      </c>
      <c r="W44" s="17">
        <f t="shared" si="15"/>
        <v>12338.253999999999</v>
      </c>
      <c r="X44" s="17">
        <f t="shared" si="15"/>
        <v>12338.253999999999</v>
      </c>
      <c r="Y44" s="17">
        <f t="shared" si="15"/>
        <v>12338.253999999999</v>
      </c>
      <c r="Z44" s="17">
        <f t="shared" si="15"/>
        <v>12338.253999999999</v>
      </c>
    </row>
    <row r="45" spans="1:26" hidden="1" thickBot="1" x14ac:dyDescent="0.35">
      <c r="A45" s="179" t="s">
        <v>77</v>
      </c>
      <c r="B45" s="183">
        <f>B43-B44</f>
        <v>296118.09599999996</v>
      </c>
      <c r="C45" s="184">
        <f>C43-C44</f>
        <v>283779.84199999995</v>
      </c>
      <c r="D45" s="184">
        <f t="shared" ref="D45:Z45" si="16">D43-D44</f>
        <v>271441.58799999993</v>
      </c>
      <c r="E45" s="184">
        <f t="shared" si="16"/>
        <v>259103.33399999994</v>
      </c>
      <c r="F45" s="184">
        <f t="shared" si="16"/>
        <v>246765.07999999996</v>
      </c>
      <c r="G45" s="184">
        <f t="shared" si="16"/>
        <v>234426.82599999997</v>
      </c>
      <c r="H45" s="184">
        <f t="shared" si="16"/>
        <v>222088.57199999999</v>
      </c>
      <c r="I45" s="184">
        <f t="shared" si="16"/>
        <v>209750.318</v>
      </c>
      <c r="J45" s="184">
        <f t="shared" si="16"/>
        <v>197412.06400000001</v>
      </c>
      <c r="K45" s="184">
        <f t="shared" si="16"/>
        <v>185073.81000000003</v>
      </c>
      <c r="L45" s="184">
        <f t="shared" si="16"/>
        <v>172735.55600000004</v>
      </c>
      <c r="M45" s="184">
        <f t="shared" si="16"/>
        <v>160397.30200000005</v>
      </c>
      <c r="N45" s="184">
        <f t="shared" si="16"/>
        <v>148059.04800000007</v>
      </c>
      <c r="O45" s="184">
        <f t="shared" si="16"/>
        <v>135720.79400000008</v>
      </c>
      <c r="P45" s="184">
        <f t="shared" si="16"/>
        <v>123382.54000000008</v>
      </c>
      <c r="Q45" s="184">
        <f t="shared" si="16"/>
        <v>111044.28600000008</v>
      </c>
      <c r="R45" s="184">
        <f t="shared" si="16"/>
        <v>98706.032000000079</v>
      </c>
      <c r="S45" s="184">
        <f t="shared" si="16"/>
        <v>86367.778000000078</v>
      </c>
      <c r="T45" s="184">
        <f t="shared" si="16"/>
        <v>74029.524000000078</v>
      </c>
      <c r="U45" s="184">
        <f t="shared" si="16"/>
        <v>61691.270000000077</v>
      </c>
      <c r="V45" s="184">
        <f t="shared" si="16"/>
        <v>49353.016000000076</v>
      </c>
      <c r="W45" s="184">
        <f t="shared" si="16"/>
        <v>37014.762000000075</v>
      </c>
      <c r="X45" s="184">
        <f t="shared" si="16"/>
        <v>24676.508000000074</v>
      </c>
      <c r="Y45" s="184">
        <f t="shared" si="16"/>
        <v>12338.254000000075</v>
      </c>
      <c r="Z45" s="185">
        <f t="shared" si="16"/>
        <v>7.6397554948925972E-11</v>
      </c>
    </row>
    <row r="46" spans="1:26" hidden="1" thickBot="1" x14ac:dyDescent="0.35">
      <c r="B46" s="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48"/>
      <c r="V46" s="148"/>
      <c r="W46" s="148"/>
      <c r="X46" s="148"/>
      <c r="Y46" s="148"/>
      <c r="Z46" s="148"/>
    </row>
    <row r="47" spans="1:26" ht="14.45" hidden="1" x14ac:dyDescent="0.3">
      <c r="A47" s="86" t="s">
        <v>78</v>
      </c>
      <c r="B47" s="180">
        <f>701092.44+B48</f>
        <v>749523.03999999992</v>
      </c>
      <c r="C47" s="186">
        <f>B49</f>
        <v>701092.44</v>
      </c>
      <c r="D47" s="186">
        <f t="shared" ref="D47:Z47" si="17">C49</f>
        <v>653676.57999999996</v>
      </c>
      <c r="E47" s="186">
        <f t="shared" si="17"/>
        <v>607326.19999999995</v>
      </c>
      <c r="F47" s="186">
        <f t="shared" si="17"/>
        <v>562094.56999999995</v>
      </c>
      <c r="G47" s="186">
        <f t="shared" si="17"/>
        <v>518037.62999999995</v>
      </c>
      <c r="H47" s="186">
        <f t="shared" si="17"/>
        <v>475214.10999999993</v>
      </c>
      <c r="I47" s="186">
        <f t="shared" si="17"/>
        <v>433685.67999999993</v>
      </c>
      <c r="J47" s="186">
        <f t="shared" si="17"/>
        <v>393517.09999999992</v>
      </c>
      <c r="K47" s="186">
        <f t="shared" si="17"/>
        <v>354776.35999999993</v>
      </c>
      <c r="L47" s="186">
        <f t="shared" si="17"/>
        <v>317534.85999999993</v>
      </c>
      <c r="M47" s="186">
        <f t="shared" si="17"/>
        <v>281867.54999999993</v>
      </c>
      <c r="N47" s="186">
        <f t="shared" si="17"/>
        <v>247853.14999999994</v>
      </c>
      <c r="O47" s="186">
        <f t="shared" si="17"/>
        <v>215574.29999999993</v>
      </c>
      <c r="P47" s="186">
        <f t="shared" si="17"/>
        <v>185117.76999999993</v>
      </c>
      <c r="Q47" s="186">
        <f t="shared" si="17"/>
        <v>156574.68999999994</v>
      </c>
      <c r="R47" s="186">
        <f t="shared" si="17"/>
        <v>130040.71999999994</v>
      </c>
      <c r="S47" s="186">
        <f t="shared" si="17"/>
        <v>105616.32999999994</v>
      </c>
      <c r="T47" s="186">
        <f t="shared" si="17"/>
        <v>83406.989999999947</v>
      </c>
      <c r="U47" s="186">
        <f t="shared" si="17"/>
        <v>63523.449999999946</v>
      </c>
      <c r="V47" s="186">
        <f t="shared" si="17"/>
        <v>46081.999999999942</v>
      </c>
      <c r="W47" s="186">
        <f t="shared" si="17"/>
        <v>31204.749999999942</v>
      </c>
      <c r="X47" s="186">
        <f t="shared" si="17"/>
        <v>19019.909999999942</v>
      </c>
      <c r="Y47" s="186">
        <f t="shared" si="17"/>
        <v>9662.0899999999419</v>
      </c>
      <c r="Z47" s="187">
        <f t="shared" si="17"/>
        <v>3272.6499999999423</v>
      </c>
    </row>
    <row r="48" spans="1:26" ht="14.45" hidden="1" x14ac:dyDescent="0.3">
      <c r="A48" s="66" t="s">
        <v>79</v>
      </c>
      <c r="B48" s="17">
        <v>48430.6</v>
      </c>
      <c r="C48" s="177">
        <v>47415.86</v>
      </c>
      <c r="D48" s="177">
        <v>46350.38</v>
      </c>
      <c r="E48" s="177">
        <v>45231.63</v>
      </c>
      <c r="F48" s="177">
        <v>44056.94</v>
      </c>
      <c r="G48" s="177">
        <v>42823.519999999997</v>
      </c>
      <c r="H48" s="177">
        <v>41528.43</v>
      </c>
      <c r="I48" s="177">
        <v>40168.58</v>
      </c>
      <c r="J48" s="177">
        <v>38740.74</v>
      </c>
      <c r="K48" s="177">
        <v>37241.5</v>
      </c>
      <c r="L48" s="177">
        <v>35667.31</v>
      </c>
      <c r="M48" s="177">
        <v>34014.400000000001</v>
      </c>
      <c r="N48" s="177">
        <v>32278.85</v>
      </c>
      <c r="O48" s="177">
        <v>30456.53</v>
      </c>
      <c r="P48" s="177">
        <v>28543.08</v>
      </c>
      <c r="Q48" s="177">
        <v>26533.97</v>
      </c>
      <c r="R48" s="177">
        <v>24424.39</v>
      </c>
      <c r="S48" s="177">
        <v>22209.34</v>
      </c>
      <c r="T48" s="177">
        <v>19883.54</v>
      </c>
      <c r="U48" s="177">
        <v>17441.45</v>
      </c>
      <c r="V48" s="177">
        <v>14877.25</v>
      </c>
      <c r="W48" s="177">
        <v>12184.84</v>
      </c>
      <c r="X48" s="177">
        <v>9357.82</v>
      </c>
      <c r="Y48" s="177">
        <v>6389.44</v>
      </c>
      <c r="Z48" s="111">
        <v>3272.64</v>
      </c>
    </row>
    <row r="49" spans="1:26" hidden="1" thickBot="1" x14ac:dyDescent="0.35">
      <c r="A49" s="179" t="s">
        <v>80</v>
      </c>
      <c r="B49" s="183">
        <f>701092.44</f>
        <v>701092.44</v>
      </c>
      <c r="C49" s="184">
        <f>C47-C48</f>
        <v>653676.57999999996</v>
      </c>
      <c r="D49" s="184">
        <f t="shared" ref="D49:Z49" si="18">D47-D48</f>
        <v>607326.19999999995</v>
      </c>
      <c r="E49" s="184">
        <f t="shared" si="18"/>
        <v>562094.56999999995</v>
      </c>
      <c r="F49" s="184">
        <f t="shared" si="18"/>
        <v>518037.62999999995</v>
      </c>
      <c r="G49" s="184">
        <f t="shared" si="18"/>
        <v>475214.10999999993</v>
      </c>
      <c r="H49" s="184">
        <f t="shared" si="18"/>
        <v>433685.67999999993</v>
      </c>
      <c r="I49" s="184">
        <f t="shared" si="18"/>
        <v>393517.09999999992</v>
      </c>
      <c r="J49" s="184">
        <f t="shared" si="18"/>
        <v>354776.35999999993</v>
      </c>
      <c r="K49" s="184">
        <f t="shared" si="18"/>
        <v>317534.85999999993</v>
      </c>
      <c r="L49" s="184">
        <f t="shared" si="18"/>
        <v>281867.54999999993</v>
      </c>
      <c r="M49" s="184">
        <f t="shared" si="18"/>
        <v>247853.14999999994</v>
      </c>
      <c r="N49" s="184">
        <f t="shared" si="18"/>
        <v>215574.29999999993</v>
      </c>
      <c r="O49" s="184">
        <f t="shared" si="18"/>
        <v>185117.76999999993</v>
      </c>
      <c r="P49" s="184">
        <f t="shared" si="18"/>
        <v>156574.68999999994</v>
      </c>
      <c r="Q49" s="184">
        <f t="shared" si="18"/>
        <v>130040.71999999994</v>
      </c>
      <c r="R49" s="184">
        <f t="shared" si="18"/>
        <v>105616.32999999994</v>
      </c>
      <c r="S49" s="184">
        <f t="shared" si="18"/>
        <v>83406.989999999947</v>
      </c>
      <c r="T49" s="184">
        <f t="shared" si="18"/>
        <v>63523.449999999946</v>
      </c>
      <c r="U49" s="184">
        <f t="shared" si="18"/>
        <v>46081.999999999942</v>
      </c>
      <c r="V49" s="184">
        <f t="shared" si="18"/>
        <v>31204.749999999942</v>
      </c>
      <c r="W49" s="184">
        <f t="shared" si="18"/>
        <v>19019.909999999942</v>
      </c>
      <c r="X49" s="184">
        <f t="shared" si="18"/>
        <v>9662.0899999999419</v>
      </c>
      <c r="Y49" s="184">
        <f t="shared" si="18"/>
        <v>3272.6499999999423</v>
      </c>
      <c r="Z49" s="185">
        <f t="shared" si="18"/>
        <v>9.9999999424653652E-3</v>
      </c>
    </row>
    <row r="50" spans="1:26" hidden="1" thickBot="1" x14ac:dyDescent="0.35">
      <c r="B50" s="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48"/>
      <c r="V50" s="148"/>
      <c r="W50" s="148"/>
      <c r="X50" s="148"/>
      <c r="Y50" s="148"/>
      <c r="Z50" s="148"/>
    </row>
    <row r="51" spans="1:26" ht="14.45" hidden="1" x14ac:dyDescent="0.3">
      <c r="A51" s="86" t="s">
        <v>81</v>
      </c>
      <c r="B51" s="180">
        <f>B43+B47</f>
        <v>1057979.3899999999</v>
      </c>
      <c r="C51" s="181">
        <f t="shared" ref="C51:Z51" si="19">C43+C47</f>
        <v>997210.53599999985</v>
      </c>
      <c r="D51" s="181">
        <f t="shared" si="19"/>
        <v>937456.4219999999</v>
      </c>
      <c r="E51" s="181">
        <f t="shared" si="19"/>
        <v>878767.78799999994</v>
      </c>
      <c r="F51" s="181">
        <f t="shared" si="19"/>
        <v>821197.90399999986</v>
      </c>
      <c r="G51" s="181">
        <f t="shared" si="19"/>
        <v>764802.71</v>
      </c>
      <c r="H51" s="181">
        <f t="shared" si="19"/>
        <v>709640.93599999987</v>
      </c>
      <c r="I51" s="181">
        <f t="shared" si="19"/>
        <v>655774.25199999986</v>
      </c>
      <c r="J51" s="181">
        <f t="shared" si="19"/>
        <v>603267.41799999995</v>
      </c>
      <c r="K51" s="181">
        <f t="shared" si="19"/>
        <v>552188.42399999988</v>
      </c>
      <c r="L51" s="181">
        <f t="shared" si="19"/>
        <v>502608.66999999993</v>
      </c>
      <c r="M51" s="181">
        <f t="shared" si="19"/>
        <v>454603.10599999997</v>
      </c>
      <c r="N51" s="181">
        <f t="shared" si="19"/>
        <v>408250.45199999999</v>
      </c>
      <c r="O51" s="181">
        <f t="shared" si="19"/>
        <v>363633.348</v>
      </c>
      <c r="P51" s="181">
        <f t="shared" si="19"/>
        <v>320838.56400000001</v>
      </c>
      <c r="Q51" s="181">
        <f t="shared" si="19"/>
        <v>279957.23000000004</v>
      </c>
      <c r="R51" s="181">
        <f t="shared" si="19"/>
        <v>241085.00600000002</v>
      </c>
      <c r="S51" s="181">
        <f t="shared" si="19"/>
        <v>204322.36200000002</v>
      </c>
      <c r="T51" s="181">
        <f t="shared" si="19"/>
        <v>169774.76800000004</v>
      </c>
      <c r="U51" s="181">
        <f t="shared" si="19"/>
        <v>137552.97400000002</v>
      </c>
      <c r="V51" s="181">
        <f t="shared" si="19"/>
        <v>107773.27000000002</v>
      </c>
      <c r="W51" s="181">
        <f t="shared" si="19"/>
        <v>80557.766000000018</v>
      </c>
      <c r="X51" s="181">
        <f t="shared" si="19"/>
        <v>56034.67200000002</v>
      </c>
      <c r="Y51" s="181">
        <f t="shared" si="19"/>
        <v>34338.598000000013</v>
      </c>
      <c r="Z51" s="182">
        <f t="shared" si="19"/>
        <v>15610.904000000017</v>
      </c>
    </row>
    <row r="52" spans="1:26" hidden="1" thickBot="1" x14ac:dyDescent="0.35">
      <c r="A52" s="179" t="s">
        <v>82</v>
      </c>
      <c r="B52" s="183">
        <f>B44+B48</f>
        <v>60768.853999999999</v>
      </c>
      <c r="C52" s="18">
        <f t="shared" ref="C52:Z52" si="20">C44+C48</f>
        <v>59754.114000000001</v>
      </c>
      <c r="D52" s="18">
        <f t="shared" si="20"/>
        <v>58688.633999999998</v>
      </c>
      <c r="E52" s="18">
        <f t="shared" si="20"/>
        <v>57569.883999999998</v>
      </c>
      <c r="F52" s="18">
        <f t="shared" si="20"/>
        <v>56395.194000000003</v>
      </c>
      <c r="G52" s="18">
        <f t="shared" si="20"/>
        <v>55161.773999999998</v>
      </c>
      <c r="H52" s="18">
        <f t="shared" si="20"/>
        <v>53866.684000000001</v>
      </c>
      <c r="I52" s="18">
        <f t="shared" si="20"/>
        <v>52506.834000000003</v>
      </c>
      <c r="J52" s="18">
        <f t="shared" si="20"/>
        <v>51078.993999999999</v>
      </c>
      <c r="K52" s="18">
        <f t="shared" si="20"/>
        <v>49579.754000000001</v>
      </c>
      <c r="L52" s="18">
        <f t="shared" si="20"/>
        <v>48005.563999999998</v>
      </c>
      <c r="M52" s="18">
        <f t="shared" si="20"/>
        <v>46352.654000000002</v>
      </c>
      <c r="N52" s="18">
        <f t="shared" si="20"/>
        <v>44617.103999999999</v>
      </c>
      <c r="O52" s="18">
        <f t="shared" si="20"/>
        <v>42794.784</v>
      </c>
      <c r="P52" s="18">
        <f t="shared" si="20"/>
        <v>40881.334000000003</v>
      </c>
      <c r="Q52" s="18">
        <f t="shared" si="20"/>
        <v>38872.224000000002</v>
      </c>
      <c r="R52" s="18">
        <f t="shared" si="20"/>
        <v>36762.644</v>
      </c>
      <c r="S52" s="18">
        <f t="shared" si="20"/>
        <v>34547.593999999997</v>
      </c>
      <c r="T52" s="18">
        <f t="shared" si="20"/>
        <v>32221.794000000002</v>
      </c>
      <c r="U52" s="18">
        <f t="shared" si="20"/>
        <v>29779.703999999998</v>
      </c>
      <c r="V52" s="18">
        <f t="shared" si="20"/>
        <v>27215.504000000001</v>
      </c>
      <c r="W52" s="18">
        <f t="shared" si="20"/>
        <v>24523.093999999997</v>
      </c>
      <c r="X52" s="18">
        <f t="shared" si="20"/>
        <v>21696.074000000001</v>
      </c>
      <c r="Y52" s="18">
        <f t="shared" si="20"/>
        <v>18727.694</v>
      </c>
      <c r="Z52" s="155">
        <f t="shared" si="20"/>
        <v>15610.893999999998</v>
      </c>
    </row>
    <row r="53" spans="1:26" x14ac:dyDescent="0.25">
      <c r="B53" s="62"/>
    </row>
    <row r="54" spans="1:26" ht="14.45" x14ac:dyDescent="0.3">
      <c r="B54" s="62"/>
    </row>
    <row r="55" spans="1:26" ht="14.45" x14ac:dyDescent="0.3">
      <c r="B55" s="62"/>
    </row>
    <row r="56" spans="1:26" ht="14.45" x14ac:dyDescent="0.3">
      <c r="B56" s="62"/>
    </row>
  </sheetData>
  <mergeCells count="2">
    <mergeCell ref="A17:U17"/>
    <mergeCell ref="A1:Z3"/>
  </mergeCells>
  <conditionalFormatting sqref="B6:Z16">
    <cfRule type="cellIs" dxfId="5" priority="2" operator="lessThan">
      <formula>0</formula>
    </cfRule>
  </conditionalFormatting>
  <conditionalFormatting sqref="B18:Z39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AA30"/>
  <sheetViews>
    <sheetView tabSelected="1" topLeftCell="A4" workbookViewId="0">
      <selection activeCell="B10" sqref="B10"/>
    </sheetView>
  </sheetViews>
  <sheetFormatPr defaultRowHeight="15" x14ac:dyDescent="0.25"/>
  <cols>
    <col min="1" max="1" width="39.140625" bestFit="1" customWidth="1"/>
    <col min="2" max="26" width="12.7109375" customWidth="1"/>
  </cols>
  <sheetData>
    <row r="1" spans="1:27" ht="15" customHeight="1" x14ac:dyDescent="0.25">
      <c r="A1" s="279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1"/>
    </row>
    <row r="2" spans="1:27" ht="15" customHeight="1" x14ac:dyDescent="0.25">
      <c r="A2" s="282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4"/>
    </row>
    <row r="3" spans="1:27" ht="15.75" customHeight="1" thickBot="1" x14ac:dyDescent="0.3">
      <c r="A3" s="282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4"/>
    </row>
    <row r="4" spans="1:27" s="2" customFormat="1" thickBot="1" x14ac:dyDescent="0.35">
      <c r="A4" s="59" t="s">
        <v>13</v>
      </c>
      <c r="B4" s="70">
        <v>2024</v>
      </c>
      <c r="C4" s="58">
        <v>2025</v>
      </c>
      <c r="D4" s="70">
        <v>2026</v>
      </c>
      <c r="E4" s="58">
        <v>2027</v>
      </c>
      <c r="F4" s="70">
        <v>2028</v>
      </c>
      <c r="G4" s="58">
        <v>2029</v>
      </c>
      <c r="H4" s="70">
        <v>2030</v>
      </c>
      <c r="I4" s="58">
        <v>2031</v>
      </c>
      <c r="J4" s="70">
        <v>2032</v>
      </c>
      <c r="K4" s="58">
        <v>2033</v>
      </c>
      <c r="L4" s="70">
        <v>2034</v>
      </c>
      <c r="M4" s="58">
        <v>2035</v>
      </c>
      <c r="N4" s="70">
        <v>2036</v>
      </c>
      <c r="O4" s="58">
        <v>2037</v>
      </c>
      <c r="P4" s="70">
        <v>2038</v>
      </c>
      <c r="Q4" s="58">
        <v>2039</v>
      </c>
      <c r="R4" s="70">
        <v>2040</v>
      </c>
      <c r="S4" s="58">
        <v>2041</v>
      </c>
      <c r="T4" s="70">
        <v>2042</v>
      </c>
      <c r="U4" s="58">
        <v>2043</v>
      </c>
      <c r="V4" s="70">
        <v>2044</v>
      </c>
      <c r="W4" s="58">
        <v>2045</v>
      </c>
      <c r="X4" s="70">
        <v>2046</v>
      </c>
      <c r="Y4" s="58">
        <v>2047</v>
      </c>
      <c r="Z4" s="70">
        <v>2048</v>
      </c>
    </row>
    <row r="5" spans="1:27" ht="3" customHeight="1" thickBot="1" x14ac:dyDescent="0.35">
      <c r="A5" s="42"/>
      <c r="B5" s="153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3"/>
      <c r="AA5" s="26"/>
    </row>
    <row r="6" spans="1:27" s="2" customFormat="1" ht="14.45" x14ac:dyDescent="0.3">
      <c r="A6" s="43" t="s">
        <v>9</v>
      </c>
      <c r="B6" s="47">
        <f>'Conto Economico prospettico'!B26</f>
        <v>15011.745999999999</v>
      </c>
      <c r="C6" s="48">
        <f>'Conto Economico prospettico'!C26</f>
        <v>15460.995999999999</v>
      </c>
      <c r="D6" s="48">
        <f>'Conto Economico prospettico'!D26</f>
        <v>15916.984750000018</v>
      </c>
      <c r="E6" s="48">
        <f>'Conto Economico prospettico'!E26</f>
        <v>16379.813331249999</v>
      </c>
      <c r="F6" s="48">
        <f>'Conto Economico prospettico'!F26</f>
        <v>16849.58434121871</v>
      </c>
      <c r="G6" s="48">
        <f>'Conto Economico prospettico'!G26</f>
        <v>19326.401916336981</v>
      </c>
      <c r="H6" s="48">
        <f>'Conto Economico prospettico'!H26</f>
        <v>19810.371755082058</v>
      </c>
      <c r="I6" s="48">
        <f>'Conto Economico prospettico'!I26</f>
        <v>20301.601141408275</v>
      </c>
      <c r="J6" s="48">
        <f>'Conto Economico prospettico'!J26</f>
        <v>20800.198968529308</v>
      </c>
      <c r="K6" s="48">
        <f>'Conto Economico prospettico'!K26</f>
        <v>21306.275763057478</v>
      </c>
      <c r="L6" s="48">
        <f>'Conto Economico prospettico'!L26</f>
        <v>21819.943709503292</v>
      </c>
      <c r="M6" s="48">
        <f>'Conto Economico prospettico'!M26</f>
        <v>22341.316675145776</v>
      </c>
      <c r="N6" s="48">
        <f>'Conto Economico prospettico'!N26</f>
        <v>22870.510235272945</v>
      </c>
      <c r="O6" s="48">
        <f>'Conto Economico prospettico'!O26</f>
        <v>23407.641698802079</v>
      </c>
      <c r="P6" s="48">
        <f>'Conto Economico prospettico'!P26</f>
        <v>23952.830134283999</v>
      </c>
      <c r="Q6" s="48">
        <f>'Conto Economico prospettico'!Q26</f>
        <v>24506.196396298255</v>
      </c>
      <c r="R6" s="48">
        <f>'Conto Economico prospettico'!R26</f>
        <v>25067.863152242804</v>
      </c>
      <c r="S6" s="48">
        <f>'Conto Economico prospettico'!S26</f>
        <v>25637.954909526408</v>
      </c>
      <c r="T6" s="48">
        <f>'Conto Economico prospettico'!T26</f>
        <v>26216.598043169201</v>
      </c>
      <c r="U6" s="48">
        <f>'Conto Economico prospettico'!U26</f>
        <v>26803.920823816865</v>
      </c>
      <c r="V6" s="48">
        <f>'Conto Economico prospettico'!V26</f>
        <v>27400.05344617409</v>
      </c>
      <c r="W6" s="48">
        <f>'Conto Economico prospettico'!W26</f>
        <v>28005.128057866779</v>
      </c>
      <c r="X6" s="48">
        <f>'Conto Economico prospettico'!X26</f>
        <v>28619.278788734766</v>
      </c>
      <c r="Y6" s="48">
        <f>'Conto Economico prospettico'!Y26</f>
        <v>29242.641780565798</v>
      </c>
      <c r="Z6" s="49">
        <f>'Conto Economico prospettico'!Z26</f>
        <v>29875.355217274235</v>
      </c>
      <c r="AA6" s="28"/>
    </row>
    <row r="7" spans="1:27" ht="3" customHeight="1" thickBot="1" x14ac:dyDescent="0.35">
      <c r="A7" s="44"/>
      <c r="B7" s="199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1"/>
      <c r="V7" s="201"/>
      <c r="W7" s="201"/>
      <c r="X7" s="201"/>
      <c r="Y7" s="201"/>
      <c r="Z7" s="202"/>
      <c r="AA7" s="26"/>
    </row>
    <row r="8" spans="1:27" ht="14.45" x14ac:dyDescent="0.3">
      <c r="A8" s="45" t="s">
        <v>14</v>
      </c>
      <c r="B8" s="118">
        <f>'Conto Economico prospettico'!B32</f>
        <v>0</v>
      </c>
      <c r="C8" s="119">
        <f>'Conto Economico prospettico'!C32</f>
        <v>128.61788399999975</v>
      </c>
      <c r="D8" s="119">
        <f>'Conto Economico prospettico'!D32</f>
        <v>255.83874525000493</v>
      </c>
      <c r="E8" s="119">
        <f>'Conto Economico prospettico'!E32</f>
        <v>384.96791941874983</v>
      </c>
      <c r="F8" s="119">
        <f>'Conto Economico prospettico'!F32</f>
        <v>516.03403120001997</v>
      </c>
      <c r="G8" s="119">
        <f>'Conto Economico prospettico'!G32</f>
        <v>1207.0661346580177</v>
      </c>
      <c r="H8" s="119">
        <f>'Conto Economico prospettico'!H32</f>
        <v>1342.0937196678942</v>
      </c>
      <c r="I8" s="119">
        <f>'Conto Economico prospettico'!I32</f>
        <v>1479.1467184529085</v>
      </c>
      <c r="J8" s="119">
        <f>'Conto Economico prospettico'!J32</f>
        <v>1618.2555122196768</v>
      </c>
      <c r="K8" s="119">
        <f>'Conto Economico prospettico'!K32</f>
        <v>1759.4509378930361</v>
      </c>
      <c r="L8" s="119">
        <f>'Conto Economico prospettico'!L32</f>
        <v>1902.7642949514182</v>
      </c>
      <c r="M8" s="119">
        <f>'Conto Economico prospettico'!M32</f>
        <v>2048.2273523656713</v>
      </c>
      <c r="N8" s="119">
        <f>'Conto Economico prospettico'!N32</f>
        <v>2195.8723556411514</v>
      </c>
      <c r="O8" s="119">
        <f>'Conto Economico prospettico'!O32</f>
        <v>2345.7320339657799</v>
      </c>
      <c r="P8" s="119">
        <f>'Conto Economico prospettico'!P32</f>
        <v>2497.8396074652355</v>
      </c>
      <c r="Q8" s="119">
        <f>'Conto Economico prospettico'!Q32</f>
        <v>2652.2287945672128</v>
      </c>
      <c r="R8" s="119">
        <f>'Conto Economico prospettico'!R32</f>
        <v>2808.933819475742</v>
      </c>
      <c r="S8" s="119">
        <f>'Conto Economico prospettico'!S32</f>
        <v>2967.9894197578674</v>
      </c>
      <c r="T8" s="119">
        <f>'Conto Economico prospettico'!T32</f>
        <v>3129.4308540442066</v>
      </c>
      <c r="U8" s="119">
        <f>'Conto Economico prospettico'!U32</f>
        <v>3293.2939098449051</v>
      </c>
      <c r="V8" s="119">
        <f>'Conto Economico prospettico'!V32</f>
        <v>3459.6149114825707</v>
      </c>
      <c r="W8" s="119">
        <f>'Conto Economico prospettico'!W32</f>
        <v>3628.4307281448309</v>
      </c>
      <c r="X8" s="119">
        <f>'Conto Economico prospettico'!X32</f>
        <v>3799.7787820569993</v>
      </c>
      <c r="Y8" s="119">
        <f>'Conto Economico prospettico'!Y32</f>
        <v>3973.6970567778571</v>
      </c>
      <c r="Z8" s="120">
        <f>'Conto Economico prospettico'!Z32</f>
        <v>4150.2241056195107</v>
      </c>
      <c r="AA8" s="26"/>
    </row>
    <row r="9" spans="1:27" ht="14.45" x14ac:dyDescent="0.3">
      <c r="A9" s="45" t="s">
        <v>15</v>
      </c>
      <c r="B9" s="50">
        <f>B6-B8</f>
        <v>15011.745999999999</v>
      </c>
      <c r="C9" s="30">
        <f>C6-C8</f>
        <v>15332.378116</v>
      </c>
      <c r="D9" s="30">
        <f t="shared" ref="D9:Y9" si="0">D6-D8</f>
        <v>15661.146004750013</v>
      </c>
      <c r="E9" s="30">
        <f t="shared" si="0"/>
        <v>15994.845411831249</v>
      </c>
      <c r="F9" s="30">
        <f t="shared" si="0"/>
        <v>16333.550310018689</v>
      </c>
      <c r="G9" s="30">
        <f t="shared" si="0"/>
        <v>18119.335781678965</v>
      </c>
      <c r="H9" s="30">
        <f t="shared" si="0"/>
        <v>18468.278035414165</v>
      </c>
      <c r="I9" s="30">
        <f t="shared" si="0"/>
        <v>18822.454422955365</v>
      </c>
      <c r="J9" s="30">
        <f t="shared" si="0"/>
        <v>19181.943456309633</v>
      </c>
      <c r="K9" s="30">
        <f t="shared" si="0"/>
        <v>19546.82482516444</v>
      </c>
      <c r="L9" s="30">
        <f t="shared" si="0"/>
        <v>19917.179414551872</v>
      </c>
      <c r="M9" s="30">
        <f t="shared" si="0"/>
        <v>20293.089322780106</v>
      </c>
      <c r="N9" s="30">
        <f t="shared" si="0"/>
        <v>20674.637879631795</v>
      </c>
      <c r="O9" s="30">
        <f t="shared" si="0"/>
        <v>21061.909664836297</v>
      </c>
      <c r="P9" s="30">
        <f t="shared" si="0"/>
        <v>21454.990526818765</v>
      </c>
      <c r="Q9" s="30">
        <f t="shared" si="0"/>
        <v>21853.967601731041</v>
      </c>
      <c r="R9" s="30">
        <f t="shared" si="0"/>
        <v>22258.92933276706</v>
      </c>
      <c r="S9" s="30">
        <f t="shared" si="0"/>
        <v>22669.96548976854</v>
      </c>
      <c r="T9" s="30">
        <f t="shared" si="0"/>
        <v>23087.167189124993</v>
      </c>
      <c r="U9" s="30">
        <f t="shared" si="0"/>
        <v>23510.626913971959</v>
      </c>
      <c r="V9" s="30">
        <f t="shared" si="0"/>
        <v>23940.438534691519</v>
      </c>
      <c r="W9" s="30">
        <f t="shared" si="0"/>
        <v>24376.697329721948</v>
      </c>
      <c r="X9" s="30">
        <f t="shared" si="0"/>
        <v>24819.500006677765</v>
      </c>
      <c r="Y9" s="30">
        <f t="shared" si="0"/>
        <v>25268.944723787943</v>
      </c>
      <c r="Z9" s="35">
        <f t="shared" ref="Z9" si="1">Z6-Z8</f>
        <v>25725.131111654722</v>
      </c>
      <c r="AA9" s="26"/>
    </row>
    <row r="10" spans="1:27" ht="14.45" x14ac:dyDescent="0.3">
      <c r="A10" s="45" t="s">
        <v>16</v>
      </c>
      <c r="B10" s="50">
        <f>'Investimenti e ammortamenti'!C12</f>
        <v>13938.254000000001</v>
      </c>
      <c r="C10" s="30">
        <f>'Investimenti e ammortamenti'!D12</f>
        <v>13938.254000000001</v>
      </c>
      <c r="D10" s="30">
        <f>'Investimenti e ammortamenti'!E12</f>
        <v>13938.254000000001</v>
      </c>
      <c r="E10" s="30">
        <f>'Investimenti e ammortamenti'!F12</f>
        <v>13938.254000000001</v>
      </c>
      <c r="F10" s="30">
        <f>'Investimenti e ammortamenti'!G12</f>
        <v>13938.254000000001</v>
      </c>
      <c r="G10" s="30">
        <f>'Investimenti e ammortamenti'!H12</f>
        <v>11938.254000000001</v>
      </c>
      <c r="H10" s="30">
        <f>'Investimenti e ammortamenti'!I12</f>
        <v>11938.254000000001</v>
      </c>
      <c r="I10" s="30">
        <f>'Investimenti e ammortamenti'!J12</f>
        <v>11938.254000000001</v>
      </c>
      <c r="J10" s="30">
        <f>'Investimenti e ammortamenti'!K12</f>
        <v>11938.254000000001</v>
      </c>
      <c r="K10" s="30">
        <f>'Investimenti e ammortamenti'!L12</f>
        <v>11938.254000000001</v>
      </c>
      <c r="L10" s="30">
        <f>'Investimenti e ammortamenti'!M12</f>
        <v>11938.254000000001</v>
      </c>
      <c r="M10" s="30">
        <f>'Investimenti e ammortamenti'!N12</f>
        <v>11938.254000000001</v>
      </c>
      <c r="N10" s="30">
        <f>'Investimenti e ammortamenti'!O12</f>
        <v>11938.254000000001</v>
      </c>
      <c r="O10" s="30">
        <f>'Investimenti e ammortamenti'!P12</f>
        <v>11938.254000000001</v>
      </c>
      <c r="P10" s="30">
        <f>'Investimenti e ammortamenti'!Q12</f>
        <v>11938.254000000001</v>
      </c>
      <c r="Q10" s="30">
        <f>'Investimenti e ammortamenti'!R12</f>
        <v>11938.254000000001</v>
      </c>
      <c r="R10" s="30">
        <f>'Investimenti e ammortamenti'!S12</f>
        <v>11938.254000000001</v>
      </c>
      <c r="S10" s="30">
        <f>'Investimenti e ammortamenti'!T12</f>
        <v>11938.254000000001</v>
      </c>
      <c r="T10" s="30">
        <f>'Investimenti e ammortamenti'!U12</f>
        <v>11938.254000000001</v>
      </c>
      <c r="U10" s="30">
        <f>'Investimenti e ammortamenti'!V12</f>
        <v>11938.254000000001</v>
      </c>
      <c r="V10" s="30">
        <f>'Investimenti e ammortamenti'!W12</f>
        <v>11938.254000000001</v>
      </c>
      <c r="W10" s="30">
        <f>'Investimenti e ammortamenti'!X12</f>
        <v>11938.254000000001</v>
      </c>
      <c r="X10" s="30">
        <f>'Investimenti e ammortamenti'!Y12</f>
        <v>11938.254000000001</v>
      </c>
      <c r="Y10" s="30">
        <f>'Investimenti e ammortamenti'!Z12</f>
        <v>11938.254000000001</v>
      </c>
      <c r="Z10" s="35">
        <f>'Investimenti e ammortamenti'!AA12</f>
        <v>11938.254000000001</v>
      </c>
      <c r="AA10" s="26"/>
    </row>
    <row r="11" spans="1:27" ht="14.45" x14ac:dyDescent="0.3">
      <c r="A11" s="45" t="s">
        <v>17</v>
      </c>
      <c r="B11" s="50">
        <f>B9+B10</f>
        <v>28950</v>
      </c>
      <c r="C11" s="30">
        <f>C9+C10</f>
        <v>29270.632116000001</v>
      </c>
      <c r="D11" s="30">
        <f t="shared" ref="D11:Y11" si="2">D9+D10</f>
        <v>29599.400004750016</v>
      </c>
      <c r="E11" s="30">
        <f t="shared" si="2"/>
        <v>29933.099411831252</v>
      </c>
      <c r="F11" s="30">
        <f t="shared" si="2"/>
        <v>30271.804310018691</v>
      </c>
      <c r="G11" s="30">
        <f t="shared" si="2"/>
        <v>30057.589781678966</v>
      </c>
      <c r="H11" s="30">
        <f t="shared" si="2"/>
        <v>30406.532035414166</v>
      </c>
      <c r="I11" s="30">
        <f t="shared" si="2"/>
        <v>30760.708422955366</v>
      </c>
      <c r="J11" s="30">
        <f t="shared" si="2"/>
        <v>31120.197456309634</v>
      </c>
      <c r="K11" s="30">
        <f t="shared" si="2"/>
        <v>31485.078825164441</v>
      </c>
      <c r="L11" s="30">
        <f t="shared" si="2"/>
        <v>31855.433414551873</v>
      </c>
      <c r="M11" s="30">
        <f t="shared" si="2"/>
        <v>32231.343322780107</v>
      </c>
      <c r="N11" s="30">
        <f t="shared" si="2"/>
        <v>32612.891879631796</v>
      </c>
      <c r="O11" s="30">
        <f t="shared" si="2"/>
        <v>33000.163664836298</v>
      </c>
      <c r="P11" s="30">
        <f t="shared" si="2"/>
        <v>33393.244526818766</v>
      </c>
      <c r="Q11" s="30">
        <f t="shared" si="2"/>
        <v>33792.221601731042</v>
      </c>
      <c r="R11" s="30">
        <f t="shared" si="2"/>
        <v>34197.183332767061</v>
      </c>
      <c r="S11" s="30">
        <f t="shared" si="2"/>
        <v>34608.21948976854</v>
      </c>
      <c r="T11" s="30">
        <f t="shared" si="2"/>
        <v>35025.421189124994</v>
      </c>
      <c r="U11" s="30">
        <f t="shared" si="2"/>
        <v>35448.88091397196</v>
      </c>
      <c r="V11" s="30">
        <f t="shared" si="2"/>
        <v>35878.692534691523</v>
      </c>
      <c r="W11" s="30">
        <f t="shared" si="2"/>
        <v>36314.951329721953</v>
      </c>
      <c r="X11" s="30">
        <f t="shared" si="2"/>
        <v>36757.754006677766</v>
      </c>
      <c r="Y11" s="30">
        <f t="shared" si="2"/>
        <v>37207.198723787944</v>
      </c>
      <c r="Z11" s="35">
        <f t="shared" ref="Z11" si="3">Z9+Z10</f>
        <v>37663.385111654723</v>
      </c>
      <c r="AA11" s="26"/>
    </row>
    <row r="12" spans="1:27" ht="14.45" x14ac:dyDescent="0.3">
      <c r="A12" s="45" t="s">
        <v>73</v>
      </c>
      <c r="B12" s="50">
        <f>-'Quadro Economico'!B18-10000</f>
        <v>-308456.34999999998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130">
        <v>0</v>
      </c>
      <c r="V12" s="130">
        <v>0</v>
      </c>
      <c r="W12" s="130">
        <v>0</v>
      </c>
      <c r="X12" s="130">
        <v>0</v>
      </c>
      <c r="Y12" s="130"/>
      <c r="Z12" s="35">
        <v>0</v>
      </c>
      <c r="AA12" s="26"/>
    </row>
    <row r="13" spans="1:27" s="2" customFormat="1" ht="14.45" x14ac:dyDescent="0.3">
      <c r="A13" s="43" t="s">
        <v>18</v>
      </c>
      <c r="B13" s="51">
        <f t="shared" ref="B13:Z13" si="4">SUM(B11:B12)</f>
        <v>-279506.34999999998</v>
      </c>
      <c r="C13" s="31">
        <f t="shared" si="4"/>
        <v>29270.632116000001</v>
      </c>
      <c r="D13" s="31">
        <f t="shared" si="4"/>
        <v>29599.400004750016</v>
      </c>
      <c r="E13" s="31">
        <f t="shared" si="4"/>
        <v>29933.099411831252</v>
      </c>
      <c r="F13" s="31">
        <f t="shared" si="4"/>
        <v>30271.804310018691</v>
      </c>
      <c r="G13" s="31">
        <f t="shared" si="4"/>
        <v>30057.589781678966</v>
      </c>
      <c r="H13" s="31">
        <f t="shared" si="4"/>
        <v>30406.532035414166</v>
      </c>
      <c r="I13" s="31">
        <f t="shared" si="4"/>
        <v>30760.708422955366</v>
      </c>
      <c r="J13" s="31">
        <f t="shared" si="4"/>
        <v>31120.197456309634</v>
      </c>
      <c r="K13" s="31">
        <f t="shared" si="4"/>
        <v>31485.078825164441</v>
      </c>
      <c r="L13" s="31">
        <f t="shared" si="4"/>
        <v>31855.433414551873</v>
      </c>
      <c r="M13" s="31">
        <f t="shared" si="4"/>
        <v>32231.343322780107</v>
      </c>
      <c r="N13" s="31">
        <f t="shared" si="4"/>
        <v>32612.891879631796</v>
      </c>
      <c r="O13" s="31">
        <f t="shared" si="4"/>
        <v>33000.163664836298</v>
      </c>
      <c r="P13" s="31">
        <f t="shared" si="4"/>
        <v>33393.244526818766</v>
      </c>
      <c r="Q13" s="31">
        <f t="shared" si="4"/>
        <v>33792.221601731042</v>
      </c>
      <c r="R13" s="31">
        <f t="shared" si="4"/>
        <v>34197.183332767061</v>
      </c>
      <c r="S13" s="31">
        <f t="shared" si="4"/>
        <v>34608.21948976854</v>
      </c>
      <c r="T13" s="31">
        <f t="shared" si="4"/>
        <v>35025.421189124994</v>
      </c>
      <c r="U13" s="31">
        <f t="shared" si="4"/>
        <v>35448.88091397196</v>
      </c>
      <c r="V13" s="31">
        <f t="shared" si="4"/>
        <v>35878.692534691523</v>
      </c>
      <c r="W13" s="31">
        <f t="shared" si="4"/>
        <v>36314.951329721953</v>
      </c>
      <c r="X13" s="31">
        <f t="shared" si="4"/>
        <v>36757.754006677766</v>
      </c>
      <c r="Y13" s="31">
        <f t="shared" si="4"/>
        <v>37207.198723787944</v>
      </c>
      <c r="Z13" s="36">
        <f t="shared" si="4"/>
        <v>37663.385111654723</v>
      </c>
      <c r="AA13" s="28"/>
    </row>
    <row r="14" spans="1:27" ht="14.45" x14ac:dyDescent="0.3">
      <c r="A14" s="45" t="s">
        <v>72</v>
      </c>
      <c r="B14" s="198">
        <f>-15000</f>
        <v>-15000</v>
      </c>
      <c r="C14" s="198">
        <f t="shared" ref="C14:Z14" si="5">-15000</f>
        <v>-15000</v>
      </c>
      <c r="D14" s="198">
        <f t="shared" si="5"/>
        <v>-15000</v>
      </c>
      <c r="E14" s="198">
        <f t="shared" si="5"/>
        <v>-15000</v>
      </c>
      <c r="F14" s="198">
        <f t="shared" si="5"/>
        <v>-15000</v>
      </c>
      <c r="G14" s="198">
        <f t="shared" si="5"/>
        <v>-15000</v>
      </c>
      <c r="H14" s="198">
        <f t="shared" si="5"/>
        <v>-15000</v>
      </c>
      <c r="I14" s="198">
        <f t="shared" si="5"/>
        <v>-15000</v>
      </c>
      <c r="J14" s="198">
        <f t="shared" si="5"/>
        <v>-15000</v>
      </c>
      <c r="K14" s="198">
        <f t="shared" si="5"/>
        <v>-15000</v>
      </c>
      <c r="L14" s="198">
        <f t="shared" si="5"/>
        <v>-15000</v>
      </c>
      <c r="M14" s="198">
        <f t="shared" si="5"/>
        <v>-15000</v>
      </c>
      <c r="N14" s="198">
        <f t="shared" si="5"/>
        <v>-15000</v>
      </c>
      <c r="O14" s="198">
        <f t="shared" si="5"/>
        <v>-15000</v>
      </c>
      <c r="P14" s="198">
        <f t="shared" si="5"/>
        <v>-15000</v>
      </c>
      <c r="Q14" s="198">
        <f t="shared" si="5"/>
        <v>-15000</v>
      </c>
      <c r="R14" s="198">
        <f t="shared" si="5"/>
        <v>-15000</v>
      </c>
      <c r="S14" s="198">
        <f t="shared" si="5"/>
        <v>-15000</v>
      </c>
      <c r="T14" s="198">
        <f t="shared" si="5"/>
        <v>-15000</v>
      </c>
      <c r="U14" s="198">
        <f t="shared" si="5"/>
        <v>-15000</v>
      </c>
      <c r="V14" s="198">
        <f t="shared" si="5"/>
        <v>-15000</v>
      </c>
      <c r="W14" s="198">
        <f t="shared" si="5"/>
        <v>-15000</v>
      </c>
      <c r="X14" s="198">
        <f t="shared" si="5"/>
        <v>-15000</v>
      </c>
      <c r="Y14" s="198">
        <f t="shared" si="5"/>
        <v>-15000</v>
      </c>
      <c r="Z14" s="198">
        <f t="shared" si="5"/>
        <v>-15000</v>
      </c>
      <c r="AA14" s="26"/>
    </row>
    <row r="15" spans="1:27" ht="14.45" x14ac:dyDescent="0.3">
      <c r="A15" s="45" t="s">
        <v>19</v>
      </c>
      <c r="B15" s="198"/>
      <c r="C15" s="30">
        <f>-'Stato Patrimoniale prospettico'!B44</f>
        <v>-12338.253999999999</v>
      </c>
      <c r="D15" s="30">
        <v>-12338</v>
      </c>
      <c r="E15" s="30">
        <v>-12338</v>
      </c>
      <c r="F15" s="30">
        <v>-12338</v>
      </c>
      <c r="G15" s="30">
        <v>-12338</v>
      </c>
      <c r="H15" s="30">
        <v>-12338</v>
      </c>
      <c r="I15" s="30">
        <v>-12338</v>
      </c>
      <c r="J15" s="30">
        <v>-12338</v>
      </c>
      <c r="K15" s="30">
        <v>-12338</v>
      </c>
      <c r="L15" s="30">
        <v>-12338</v>
      </c>
      <c r="M15" s="30">
        <v>-12338</v>
      </c>
      <c r="N15" s="30">
        <v>-12338</v>
      </c>
      <c r="O15" s="30">
        <v>-12338</v>
      </c>
      <c r="P15" s="30">
        <v>-12338</v>
      </c>
      <c r="Q15" s="30">
        <v>-12338</v>
      </c>
      <c r="R15" s="30">
        <v>-12338</v>
      </c>
      <c r="S15" s="30">
        <v>-12338</v>
      </c>
      <c r="T15" s="30">
        <v>-12338</v>
      </c>
      <c r="U15" s="30">
        <v>-12338</v>
      </c>
      <c r="V15" s="30">
        <v>-12338</v>
      </c>
      <c r="W15" s="30">
        <v>-12338</v>
      </c>
      <c r="X15" s="30">
        <v>-12338</v>
      </c>
      <c r="Y15" s="30">
        <v>-12338</v>
      </c>
      <c r="Z15" s="30">
        <v>-12338</v>
      </c>
      <c r="AA15" s="26"/>
    </row>
    <row r="16" spans="1:27" ht="14.45" x14ac:dyDescent="0.3">
      <c r="A16" s="45" t="s">
        <v>20</v>
      </c>
      <c r="B16" s="50">
        <f>-B12</f>
        <v>308456.34999999998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5">
        <v>0</v>
      </c>
      <c r="AA16" s="26"/>
    </row>
    <row r="17" spans="1:27" ht="14.45" x14ac:dyDescent="0.3">
      <c r="A17" s="45" t="s">
        <v>21</v>
      </c>
      <c r="B17" s="5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5">
        <v>0</v>
      </c>
      <c r="AA17" s="26"/>
    </row>
    <row r="18" spans="1:27" ht="14.45" x14ac:dyDescent="0.3">
      <c r="A18" s="45" t="s">
        <v>22</v>
      </c>
      <c r="B18" s="50">
        <v>10000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5">
        <v>0</v>
      </c>
      <c r="AA18" s="26"/>
    </row>
    <row r="19" spans="1:27" s="2" customFormat="1" thickBot="1" x14ac:dyDescent="0.35">
      <c r="A19" s="46" t="s">
        <v>23</v>
      </c>
      <c r="B19" s="52">
        <f t="shared" ref="B19:Z19" si="6">SUM(B13:B18)</f>
        <v>23950</v>
      </c>
      <c r="C19" s="37">
        <f t="shared" si="6"/>
        <v>1932.3781160000017</v>
      </c>
      <c r="D19" s="37">
        <f t="shared" si="6"/>
        <v>2261.4000047500158</v>
      </c>
      <c r="E19" s="37">
        <f t="shared" si="6"/>
        <v>2595.0994118312519</v>
      </c>
      <c r="F19" s="37">
        <f t="shared" si="6"/>
        <v>2933.8043100186915</v>
      </c>
      <c r="G19" s="37">
        <f t="shared" si="6"/>
        <v>2719.5897816789657</v>
      </c>
      <c r="H19" s="37">
        <f t="shared" si="6"/>
        <v>3068.5320354141659</v>
      </c>
      <c r="I19" s="37">
        <f t="shared" si="6"/>
        <v>3422.7084229553657</v>
      </c>
      <c r="J19" s="37">
        <f t="shared" si="6"/>
        <v>3782.1974563096337</v>
      </c>
      <c r="K19" s="37">
        <f t="shared" si="6"/>
        <v>4147.0788251644408</v>
      </c>
      <c r="L19" s="37">
        <f t="shared" si="6"/>
        <v>4517.4334145518733</v>
      </c>
      <c r="M19" s="37">
        <f t="shared" si="6"/>
        <v>4893.343322780107</v>
      </c>
      <c r="N19" s="37">
        <f t="shared" si="6"/>
        <v>5274.8918796317957</v>
      </c>
      <c r="O19" s="37">
        <f t="shared" si="6"/>
        <v>5662.1636648362983</v>
      </c>
      <c r="P19" s="37">
        <f t="shared" si="6"/>
        <v>6055.2445268187657</v>
      </c>
      <c r="Q19" s="37">
        <f t="shared" si="6"/>
        <v>6454.221601731042</v>
      </c>
      <c r="R19" s="37">
        <f t="shared" si="6"/>
        <v>6859.1833327670611</v>
      </c>
      <c r="S19" s="37">
        <f t="shared" si="6"/>
        <v>7270.2194897685404</v>
      </c>
      <c r="T19" s="37">
        <f t="shared" si="6"/>
        <v>7687.4211891249943</v>
      </c>
      <c r="U19" s="134">
        <f t="shared" si="6"/>
        <v>8110.8809139719597</v>
      </c>
      <c r="V19" s="134">
        <f t="shared" si="6"/>
        <v>8540.6925346915232</v>
      </c>
      <c r="W19" s="134">
        <f t="shared" si="6"/>
        <v>8976.9513297219528</v>
      </c>
      <c r="X19" s="134">
        <f t="shared" si="6"/>
        <v>9419.7540066777656</v>
      </c>
      <c r="Y19" s="134">
        <f t="shared" si="6"/>
        <v>9869.1987237879439</v>
      </c>
      <c r="Z19" s="38">
        <f t="shared" si="6"/>
        <v>10325.385111654723</v>
      </c>
      <c r="AA19" s="28"/>
    </row>
    <row r="20" spans="1:27" ht="30" customHeight="1" thickBot="1" x14ac:dyDescent="0.35">
      <c r="A20" s="290"/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62"/>
      <c r="W20" s="26"/>
      <c r="X20" s="26"/>
      <c r="Y20" s="26"/>
      <c r="Z20" s="26"/>
      <c r="AA20" s="26"/>
    </row>
    <row r="21" spans="1:27" s="2" customFormat="1" thickBot="1" x14ac:dyDescent="0.35">
      <c r="A21" s="53" t="s">
        <v>24</v>
      </c>
      <c r="B21" s="54">
        <v>0</v>
      </c>
      <c r="C21" s="55">
        <f>B19</f>
        <v>23950</v>
      </c>
      <c r="D21" s="55">
        <f>C21+C19</f>
        <v>25882.378116</v>
      </c>
      <c r="E21" s="55">
        <f t="shared" ref="E21:U21" si="7">D21+D19</f>
        <v>28143.778120750016</v>
      </c>
      <c r="F21" s="55">
        <f t="shared" si="7"/>
        <v>30738.877532581268</v>
      </c>
      <c r="G21" s="55">
        <f t="shared" si="7"/>
        <v>33672.681842599959</v>
      </c>
      <c r="H21" s="55">
        <f t="shared" si="7"/>
        <v>36392.271624278925</v>
      </c>
      <c r="I21" s="55">
        <f t="shared" si="7"/>
        <v>39460.803659693091</v>
      </c>
      <c r="J21" s="55">
        <f t="shared" si="7"/>
        <v>42883.512082648456</v>
      </c>
      <c r="K21" s="55">
        <f t="shared" si="7"/>
        <v>46665.709538958094</v>
      </c>
      <c r="L21" s="55">
        <f t="shared" si="7"/>
        <v>50812.788364122534</v>
      </c>
      <c r="M21" s="55">
        <f t="shared" si="7"/>
        <v>55330.221778674408</v>
      </c>
      <c r="N21" s="55">
        <f t="shared" si="7"/>
        <v>60223.565101454515</v>
      </c>
      <c r="O21" s="55">
        <f t="shared" si="7"/>
        <v>65498.45698108631</v>
      </c>
      <c r="P21" s="55">
        <f t="shared" si="7"/>
        <v>71160.620645922609</v>
      </c>
      <c r="Q21" s="55">
        <f t="shared" si="7"/>
        <v>77215.865172741382</v>
      </c>
      <c r="R21" s="55">
        <f t="shared" si="7"/>
        <v>83670.086774472424</v>
      </c>
      <c r="S21" s="55">
        <f t="shared" si="7"/>
        <v>90529.270107239485</v>
      </c>
      <c r="T21" s="55">
        <f t="shared" si="7"/>
        <v>97799.489597008025</v>
      </c>
      <c r="U21" s="141">
        <f t="shared" si="7"/>
        <v>105486.91078613303</v>
      </c>
      <c r="V21" s="141">
        <f t="shared" ref="V21" si="8">U21+U19</f>
        <v>113597.79170010498</v>
      </c>
      <c r="W21" s="141">
        <f t="shared" ref="W21" si="9">V21+V19</f>
        <v>122138.4842347965</v>
      </c>
      <c r="X21" s="141">
        <f t="shared" ref="X21" si="10">W21+W19</f>
        <v>131115.43556451844</v>
      </c>
      <c r="Y21" s="141">
        <f t="shared" ref="Y21" si="11">X21+X19</f>
        <v>140535.18957119621</v>
      </c>
      <c r="Z21" s="56">
        <f t="shared" ref="Z21" si="12">Y21+Y19</f>
        <v>150404.38829498415</v>
      </c>
      <c r="AA21" s="28"/>
    </row>
    <row r="22" spans="1:27" s="2" customFormat="1" thickBot="1" x14ac:dyDescent="0.35">
      <c r="A22" s="53" t="s">
        <v>25</v>
      </c>
      <c r="B22" s="154">
        <f>B19</f>
        <v>23950</v>
      </c>
      <c r="C22" s="55">
        <f>C19</f>
        <v>1932.3781160000017</v>
      </c>
      <c r="D22" s="55">
        <f t="shared" ref="D22:Y22" si="13">D19</f>
        <v>2261.4000047500158</v>
      </c>
      <c r="E22" s="55">
        <f t="shared" si="13"/>
        <v>2595.0994118312519</v>
      </c>
      <c r="F22" s="55">
        <f t="shared" si="13"/>
        <v>2933.8043100186915</v>
      </c>
      <c r="G22" s="55">
        <f t="shared" si="13"/>
        <v>2719.5897816789657</v>
      </c>
      <c r="H22" s="55">
        <f t="shared" si="13"/>
        <v>3068.5320354141659</v>
      </c>
      <c r="I22" s="55">
        <f t="shared" si="13"/>
        <v>3422.7084229553657</v>
      </c>
      <c r="J22" s="55">
        <f t="shared" si="13"/>
        <v>3782.1974563096337</v>
      </c>
      <c r="K22" s="55">
        <f t="shared" si="13"/>
        <v>4147.0788251644408</v>
      </c>
      <c r="L22" s="55">
        <f t="shared" si="13"/>
        <v>4517.4334145518733</v>
      </c>
      <c r="M22" s="55">
        <f t="shared" si="13"/>
        <v>4893.343322780107</v>
      </c>
      <c r="N22" s="55">
        <f t="shared" si="13"/>
        <v>5274.8918796317957</v>
      </c>
      <c r="O22" s="55">
        <f t="shared" si="13"/>
        <v>5662.1636648362983</v>
      </c>
      <c r="P22" s="55">
        <f t="shared" si="13"/>
        <v>6055.2445268187657</v>
      </c>
      <c r="Q22" s="55">
        <f t="shared" si="13"/>
        <v>6454.221601731042</v>
      </c>
      <c r="R22" s="55">
        <f t="shared" si="13"/>
        <v>6859.1833327670611</v>
      </c>
      <c r="S22" s="55">
        <f t="shared" si="13"/>
        <v>7270.2194897685404</v>
      </c>
      <c r="T22" s="55">
        <f t="shared" si="13"/>
        <v>7687.4211891249943</v>
      </c>
      <c r="U22" s="55">
        <f t="shared" si="13"/>
        <v>8110.8809139719597</v>
      </c>
      <c r="V22" s="55">
        <f t="shared" si="13"/>
        <v>8540.6925346915232</v>
      </c>
      <c r="W22" s="55">
        <f t="shared" si="13"/>
        <v>8976.9513297219528</v>
      </c>
      <c r="X22" s="55">
        <f t="shared" si="13"/>
        <v>9419.7540066777656</v>
      </c>
      <c r="Y22" s="55">
        <f t="shared" si="13"/>
        <v>9869.1987237879439</v>
      </c>
      <c r="Z22" s="56">
        <f>Z19</f>
        <v>10325.385111654723</v>
      </c>
      <c r="AA22" s="28"/>
    </row>
    <row r="23" spans="1:27" s="2" customFormat="1" thickBot="1" x14ac:dyDescent="0.35">
      <c r="A23" s="53" t="s">
        <v>26</v>
      </c>
      <c r="B23" s="154">
        <f>B19</f>
        <v>23950</v>
      </c>
      <c r="C23" s="55">
        <f t="shared" ref="C23:U23" si="14">C21+C22</f>
        <v>25882.378116</v>
      </c>
      <c r="D23" s="55">
        <f t="shared" si="14"/>
        <v>28143.778120750016</v>
      </c>
      <c r="E23" s="55">
        <f t="shared" si="14"/>
        <v>30738.877532581268</v>
      </c>
      <c r="F23" s="55">
        <f t="shared" si="14"/>
        <v>33672.681842599959</v>
      </c>
      <c r="G23" s="55">
        <f t="shared" si="14"/>
        <v>36392.271624278925</v>
      </c>
      <c r="H23" s="55">
        <f t="shared" si="14"/>
        <v>39460.803659693091</v>
      </c>
      <c r="I23" s="55">
        <f t="shared" si="14"/>
        <v>42883.512082648456</v>
      </c>
      <c r="J23" s="55">
        <f t="shared" si="14"/>
        <v>46665.709538958094</v>
      </c>
      <c r="K23" s="55">
        <f t="shared" si="14"/>
        <v>50812.788364122534</v>
      </c>
      <c r="L23" s="55">
        <f t="shared" si="14"/>
        <v>55330.221778674408</v>
      </c>
      <c r="M23" s="55">
        <f t="shared" si="14"/>
        <v>60223.565101454515</v>
      </c>
      <c r="N23" s="55">
        <f t="shared" si="14"/>
        <v>65498.45698108631</v>
      </c>
      <c r="O23" s="55">
        <f t="shared" si="14"/>
        <v>71160.620645922609</v>
      </c>
      <c r="P23" s="55">
        <f t="shared" si="14"/>
        <v>77215.865172741382</v>
      </c>
      <c r="Q23" s="55">
        <f t="shared" si="14"/>
        <v>83670.086774472424</v>
      </c>
      <c r="R23" s="55">
        <f t="shared" si="14"/>
        <v>90529.270107239485</v>
      </c>
      <c r="S23" s="55">
        <f t="shared" si="14"/>
        <v>97799.489597008025</v>
      </c>
      <c r="T23" s="55">
        <f t="shared" si="14"/>
        <v>105486.91078613303</v>
      </c>
      <c r="U23" s="141">
        <f t="shared" si="14"/>
        <v>113597.79170010498</v>
      </c>
      <c r="V23" s="141">
        <f t="shared" ref="V23:Z23" si="15">V21+V22</f>
        <v>122138.4842347965</v>
      </c>
      <c r="W23" s="141">
        <f t="shared" si="15"/>
        <v>131115.43556451844</v>
      </c>
      <c r="X23" s="141">
        <f t="shared" si="15"/>
        <v>140535.18957119621</v>
      </c>
      <c r="Y23" s="141">
        <f t="shared" si="15"/>
        <v>150404.38829498415</v>
      </c>
      <c r="Z23" s="56">
        <f t="shared" si="15"/>
        <v>160729.77340663888</v>
      </c>
      <c r="AA23" s="28"/>
    </row>
    <row r="24" spans="1:27" ht="14.45" x14ac:dyDescent="0.3">
      <c r="A24" s="1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4.45" x14ac:dyDescent="0.3">
      <c r="A25" s="1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thickBot="1" x14ac:dyDescent="0.35">
      <c r="A26" s="1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4.45" x14ac:dyDescent="0.3">
      <c r="A27" s="193" t="s">
        <v>9</v>
      </c>
      <c r="B27" s="181">
        <f>B6</f>
        <v>15011.745999999999</v>
      </c>
      <c r="C27" s="181">
        <f t="shared" ref="C27:Z27" si="16">C6</f>
        <v>15460.995999999999</v>
      </c>
      <c r="D27" s="181">
        <f t="shared" si="16"/>
        <v>15916.984750000018</v>
      </c>
      <c r="E27" s="181">
        <f t="shared" si="16"/>
        <v>16379.813331249999</v>
      </c>
      <c r="F27" s="181">
        <f t="shared" si="16"/>
        <v>16849.58434121871</v>
      </c>
      <c r="G27" s="181">
        <f t="shared" si="16"/>
        <v>19326.401916336981</v>
      </c>
      <c r="H27" s="181">
        <f t="shared" si="16"/>
        <v>19810.371755082058</v>
      </c>
      <c r="I27" s="181">
        <f t="shared" si="16"/>
        <v>20301.601141408275</v>
      </c>
      <c r="J27" s="181">
        <f t="shared" si="16"/>
        <v>20800.198968529308</v>
      </c>
      <c r="K27" s="181">
        <f t="shared" si="16"/>
        <v>21306.275763057478</v>
      </c>
      <c r="L27" s="181">
        <f t="shared" si="16"/>
        <v>21819.943709503292</v>
      </c>
      <c r="M27" s="181">
        <f t="shared" si="16"/>
        <v>22341.316675145776</v>
      </c>
      <c r="N27" s="181">
        <f t="shared" si="16"/>
        <v>22870.510235272945</v>
      </c>
      <c r="O27" s="181">
        <f t="shared" si="16"/>
        <v>23407.641698802079</v>
      </c>
      <c r="P27" s="181">
        <f t="shared" si="16"/>
        <v>23952.830134283999</v>
      </c>
      <c r="Q27" s="181">
        <f t="shared" si="16"/>
        <v>24506.196396298255</v>
      </c>
      <c r="R27" s="181">
        <f t="shared" si="16"/>
        <v>25067.863152242804</v>
      </c>
      <c r="S27" s="181">
        <f t="shared" si="16"/>
        <v>25637.954909526408</v>
      </c>
      <c r="T27" s="181">
        <f t="shared" si="16"/>
        <v>26216.598043169201</v>
      </c>
      <c r="U27" s="181">
        <f t="shared" si="16"/>
        <v>26803.920823816865</v>
      </c>
      <c r="V27" s="181">
        <f t="shared" si="16"/>
        <v>27400.05344617409</v>
      </c>
      <c r="W27" s="181">
        <f t="shared" si="16"/>
        <v>28005.128057866779</v>
      </c>
      <c r="X27" s="181">
        <f t="shared" si="16"/>
        <v>28619.278788734766</v>
      </c>
      <c r="Y27" s="181">
        <f t="shared" si="16"/>
        <v>29242.641780565798</v>
      </c>
      <c r="Z27" s="182">
        <f t="shared" si="16"/>
        <v>29875.355217274235</v>
      </c>
      <c r="AA27" s="26"/>
    </row>
    <row r="28" spans="1:27" ht="14.45" x14ac:dyDescent="0.3">
      <c r="A28" s="176" t="s">
        <v>86</v>
      </c>
      <c r="B28" s="177"/>
      <c r="C28" s="177">
        <v>7000</v>
      </c>
      <c r="D28" s="177">
        <v>7000</v>
      </c>
      <c r="E28" s="177">
        <v>7000</v>
      </c>
      <c r="F28" s="177">
        <v>7000</v>
      </c>
      <c r="G28" s="177">
        <v>7000</v>
      </c>
      <c r="H28" s="177">
        <v>7000</v>
      </c>
      <c r="I28" s="177">
        <v>7000</v>
      </c>
      <c r="J28" s="177">
        <v>7000</v>
      </c>
      <c r="K28" s="177">
        <v>7000</v>
      </c>
      <c r="L28" s="177">
        <v>7000</v>
      </c>
      <c r="M28" s="177">
        <v>7000</v>
      </c>
      <c r="N28" s="177">
        <v>7000</v>
      </c>
      <c r="O28" s="177">
        <v>7000</v>
      </c>
      <c r="P28" s="177">
        <v>7000</v>
      </c>
      <c r="Q28" s="177">
        <v>7000</v>
      </c>
      <c r="R28" s="177">
        <v>7000</v>
      </c>
      <c r="S28" s="177">
        <v>7000</v>
      </c>
      <c r="T28" s="177">
        <v>7000</v>
      </c>
      <c r="U28" s="177">
        <v>7000</v>
      </c>
      <c r="V28" s="177">
        <v>7000</v>
      </c>
      <c r="W28" s="177">
        <v>7000</v>
      </c>
      <c r="X28" s="177">
        <v>7000</v>
      </c>
      <c r="Y28" s="177">
        <v>7000</v>
      </c>
      <c r="Z28" s="177">
        <v>7000</v>
      </c>
    </row>
    <row r="29" spans="1:27" thickBot="1" x14ac:dyDescent="0.35">
      <c r="A29" s="194" t="s">
        <v>87</v>
      </c>
      <c r="B29" s="184">
        <v>15000</v>
      </c>
      <c r="C29" s="184">
        <v>15000</v>
      </c>
      <c r="D29" s="184">
        <v>15000</v>
      </c>
      <c r="E29" s="184">
        <v>15000</v>
      </c>
      <c r="F29" s="184">
        <v>15000</v>
      </c>
      <c r="G29" s="184">
        <v>15000</v>
      </c>
      <c r="H29" s="184">
        <v>15000</v>
      </c>
      <c r="I29" s="184">
        <v>15000</v>
      </c>
      <c r="J29" s="184">
        <v>15000</v>
      </c>
      <c r="K29" s="184">
        <v>15000</v>
      </c>
      <c r="L29" s="184">
        <v>15000</v>
      </c>
      <c r="M29" s="184">
        <v>15000</v>
      </c>
      <c r="N29" s="184">
        <v>15000</v>
      </c>
      <c r="O29" s="184">
        <v>15000</v>
      </c>
      <c r="P29" s="184">
        <v>15000</v>
      </c>
      <c r="Q29" s="184">
        <v>15000</v>
      </c>
      <c r="R29" s="184">
        <v>15000</v>
      </c>
      <c r="S29" s="184">
        <v>15000</v>
      </c>
      <c r="T29" s="184">
        <v>15000</v>
      </c>
      <c r="U29" s="184">
        <v>15000</v>
      </c>
      <c r="V29" s="184">
        <v>15000</v>
      </c>
      <c r="W29" s="184">
        <v>15000</v>
      </c>
      <c r="X29" s="184">
        <v>15000</v>
      </c>
      <c r="Y29" s="184">
        <v>15000</v>
      </c>
      <c r="Z29" s="184">
        <v>15000</v>
      </c>
    </row>
    <row r="30" spans="1:27" ht="15.75" thickBot="1" x14ac:dyDescent="0.3">
      <c r="A30" s="195" t="s">
        <v>70</v>
      </c>
      <c r="B30" s="196">
        <f>B27-(B28+B29)</f>
        <v>11.745999999999185</v>
      </c>
      <c r="C30" s="196">
        <f t="shared" ref="C30:Z30" si="17">C27-(C28+C29)</f>
        <v>-6539.0040000000008</v>
      </c>
      <c r="D30" s="196">
        <f t="shared" si="17"/>
        <v>-6083.0152499999822</v>
      </c>
      <c r="E30" s="196">
        <f t="shared" si="17"/>
        <v>-5620.1866687500005</v>
      </c>
      <c r="F30" s="196">
        <f t="shared" si="17"/>
        <v>-5150.4156587812904</v>
      </c>
      <c r="G30" s="196">
        <f t="shared" si="17"/>
        <v>-2673.5980836630188</v>
      </c>
      <c r="H30" s="196">
        <f t="shared" si="17"/>
        <v>-2189.6282449179416</v>
      </c>
      <c r="I30" s="196">
        <f t="shared" si="17"/>
        <v>-1698.398858591725</v>
      </c>
      <c r="J30" s="196">
        <f t="shared" si="17"/>
        <v>-1199.8010314706917</v>
      </c>
      <c r="K30" s="196">
        <f t="shared" si="17"/>
        <v>-693.72423694252211</v>
      </c>
      <c r="L30" s="196">
        <f t="shared" si="17"/>
        <v>-180.05629049670824</v>
      </c>
      <c r="M30" s="196">
        <f t="shared" si="17"/>
        <v>341.31667514577566</v>
      </c>
      <c r="N30" s="196">
        <f t="shared" si="17"/>
        <v>870.51023527294456</v>
      </c>
      <c r="O30" s="196">
        <f t="shared" si="17"/>
        <v>1407.6416988020792</v>
      </c>
      <c r="P30" s="196">
        <f t="shared" si="17"/>
        <v>1952.8301342839986</v>
      </c>
      <c r="Q30" s="196">
        <f t="shared" si="17"/>
        <v>2506.1963962982554</v>
      </c>
      <c r="R30" s="196">
        <f t="shared" si="17"/>
        <v>3067.8631522428041</v>
      </c>
      <c r="S30" s="196">
        <f t="shared" si="17"/>
        <v>3637.9549095264083</v>
      </c>
      <c r="T30" s="196">
        <f t="shared" si="17"/>
        <v>4216.5980431692005</v>
      </c>
      <c r="U30" s="196">
        <f t="shared" si="17"/>
        <v>4803.9208238168649</v>
      </c>
      <c r="V30" s="196">
        <f t="shared" si="17"/>
        <v>5400.0534461740899</v>
      </c>
      <c r="W30" s="196">
        <f t="shared" si="17"/>
        <v>6005.1280578667793</v>
      </c>
      <c r="X30" s="196">
        <f t="shared" si="17"/>
        <v>6619.2787887347658</v>
      </c>
      <c r="Y30" s="196">
        <f t="shared" si="17"/>
        <v>7242.6417805657984</v>
      </c>
      <c r="Z30" s="197">
        <f t="shared" si="17"/>
        <v>7875.3552172742347</v>
      </c>
    </row>
  </sheetData>
  <mergeCells count="2">
    <mergeCell ref="A20:U20"/>
    <mergeCell ref="A1:Z3"/>
  </mergeCells>
  <conditionalFormatting sqref="B5:Z19">
    <cfRule type="cellIs" dxfId="3" priority="2" operator="lessThan">
      <formula>0</formula>
    </cfRule>
  </conditionalFormatting>
  <conditionalFormatting sqref="B21:Z23">
    <cfRule type="cellIs" dxfId="2" priority="5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AA12"/>
  <sheetViews>
    <sheetView workbookViewId="0">
      <selection activeCell="F23" sqref="F23"/>
    </sheetView>
  </sheetViews>
  <sheetFormatPr defaultRowHeight="15" x14ac:dyDescent="0.25"/>
  <cols>
    <col min="1" max="1" width="36.7109375" customWidth="1"/>
    <col min="2" max="2" width="14" customWidth="1"/>
    <col min="3" max="27" width="12.7109375" customWidth="1"/>
  </cols>
  <sheetData>
    <row r="1" spans="1:27" ht="15" customHeight="1" x14ac:dyDescent="0.25">
      <c r="A1" s="293" t="s">
        <v>68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5"/>
    </row>
    <row r="2" spans="1:27" ht="15" customHeight="1" x14ac:dyDescent="0.25">
      <c r="A2" s="296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8"/>
    </row>
    <row r="3" spans="1:27" ht="15" customHeight="1" thickBot="1" x14ac:dyDescent="0.3">
      <c r="A3" s="299"/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1"/>
    </row>
    <row r="4" spans="1:27" s="2" customFormat="1" thickBot="1" x14ac:dyDescent="0.35">
      <c r="A4" s="10" t="s">
        <v>13</v>
      </c>
      <c r="B4" s="96"/>
      <c r="C4" s="11">
        <v>2024</v>
      </c>
      <c r="D4" s="11">
        <v>2025</v>
      </c>
      <c r="E4" s="11">
        <v>2026</v>
      </c>
      <c r="F4" s="11">
        <v>2027</v>
      </c>
      <c r="G4" s="11">
        <v>2028</v>
      </c>
      <c r="H4" s="11">
        <v>2029</v>
      </c>
      <c r="I4" s="11">
        <v>2030</v>
      </c>
      <c r="J4" s="11">
        <v>2031</v>
      </c>
      <c r="K4" s="11">
        <v>2032</v>
      </c>
      <c r="L4" s="11">
        <v>2033</v>
      </c>
      <c r="M4" s="11">
        <v>2034</v>
      </c>
      <c r="N4" s="11">
        <v>2035</v>
      </c>
      <c r="O4" s="11">
        <v>2036</v>
      </c>
      <c r="P4" s="11">
        <v>2037</v>
      </c>
      <c r="Q4" s="11">
        <v>2038</v>
      </c>
      <c r="R4" s="11">
        <v>2039</v>
      </c>
      <c r="S4" s="11">
        <v>2040</v>
      </c>
      <c r="T4" s="11">
        <v>2041</v>
      </c>
      <c r="U4" s="11">
        <v>2042</v>
      </c>
      <c r="V4" s="11">
        <v>2043</v>
      </c>
      <c r="W4" s="11">
        <v>2044</v>
      </c>
      <c r="X4" s="11">
        <v>2045</v>
      </c>
      <c r="Y4" s="11">
        <v>2046</v>
      </c>
      <c r="Z4" s="11">
        <v>2047</v>
      </c>
      <c r="AA4" s="11">
        <v>2048</v>
      </c>
    </row>
    <row r="5" spans="1:27" ht="14.45" x14ac:dyDescent="0.3">
      <c r="A5" s="87" t="s">
        <v>43</v>
      </c>
      <c r="B5" s="170"/>
      <c r="C5" s="172">
        <f>'Cash Flow'!B13</f>
        <v>-279506.34999999998</v>
      </c>
      <c r="D5" s="88">
        <f>'Cash Flow'!C13</f>
        <v>29270.632116000001</v>
      </c>
      <c r="E5" s="88">
        <f>'Cash Flow'!D13</f>
        <v>29599.400004750016</v>
      </c>
      <c r="F5" s="88">
        <f>'Cash Flow'!E13</f>
        <v>29933.099411831252</v>
      </c>
      <c r="G5" s="88">
        <f>'Cash Flow'!F13</f>
        <v>30271.804310018691</v>
      </c>
      <c r="H5" s="88">
        <f>'Cash Flow'!G13</f>
        <v>30057.589781678966</v>
      </c>
      <c r="I5" s="88">
        <f>'Cash Flow'!H13</f>
        <v>30406.532035414166</v>
      </c>
      <c r="J5" s="88">
        <f>'Cash Flow'!I13</f>
        <v>30760.708422955366</v>
      </c>
      <c r="K5" s="88">
        <f>'Cash Flow'!J13</f>
        <v>31120.197456309634</v>
      </c>
      <c r="L5" s="88">
        <f>'Cash Flow'!K13</f>
        <v>31485.078825164441</v>
      </c>
      <c r="M5" s="88">
        <f>'Cash Flow'!L13</f>
        <v>31855.433414551873</v>
      </c>
      <c r="N5" s="88">
        <f>'Cash Flow'!M13</f>
        <v>32231.343322780107</v>
      </c>
      <c r="O5" s="88">
        <f>'Cash Flow'!N13</f>
        <v>32612.891879631796</v>
      </c>
      <c r="P5" s="88">
        <f>'Cash Flow'!O13</f>
        <v>33000.163664836298</v>
      </c>
      <c r="Q5" s="88">
        <f>'Cash Flow'!P13</f>
        <v>33393.244526818766</v>
      </c>
      <c r="R5" s="88">
        <f>'Cash Flow'!Q13</f>
        <v>33792.221601731042</v>
      </c>
      <c r="S5" s="88">
        <f>'Cash Flow'!R13</f>
        <v>34197.183332767061</v>
      </c>
      <c r="T5" s="88">
        <f>'Cash Flow'!S13</f>
        <v>34608.21948976854</v>
      </c>
      <c r="U5" s="88">
        <f>'Cash Flow'!T13</f>
        <v>35025.421189124994</v>
      </c>
      <c r="V5" s="88">
        <f>'Cash Flow'!U13</f>
        <v>35448.88091397196</v>
      </c>
      <c r="W5" s="88">
        <f>'Cash Flow'!V13</f>
        <v>35878.692534691523</v>
      </c>
      <c r="X5" s="88">
        <f>'Cash Flow'!W13</f>
        <v>36314.951329721953</v>
      </c>
      <c r="Y5" s="88">
        <f>'Cash Flow'!X13</f>
        <v>36757.754006677766</v>
      </c>
      <c r="Z5" s="88">
        <f>'Cash Flow'!Y13</f>
        <v>37207.198723787944</v>
      </c>
      <c r="AA5" s="89">
        <f>'Cash Flow'!Z13</f>
        <v>37663.385111654723</v>
      </c>
    </row>
    <row r="6" spans="1:27" ht="14.45" x14ac:dyDescent="0.3">
      <c r="A6" s="66" t="s">
        <v>44</v>
      </c>
      <c r="B6" s="175">
        <v>3.2500000000000001E-2</v>
      </c>
      <c r="C6" s="203">
        <v>3.2500000000000001E-2</v>
      </c>
      <c r="D6" s="204">
        <f>C6*(1+$B$6)</f>
        <v>3.3556250000000003E-2</v>
      </c>
      <c r="E6" s="177">
        <f t="shared" ref="E6:Z6" si="0">D6*(1+$B$6)</f>
        <v>3.4646828125000001E-2</v>
      </c>
      <c r="F6" s="177">
        <f t="shared" si="0"/>
        <v>3.5772850039062498E-2</v>
      </c>
      <c r="G6" s="177">
        <f t="shared" si="0"/>
        <v>3.6935467665332025E-2</v>
      </c>
      <c r="H6" s="177">
        <f t="shared" si="0"/>
        <v>3.8135870364455315E-2</v>
      </c>
      <c r="I6" s="177">
        <f t="shared" si="0"/>
        <v>3.9375286151300114E-2</v>
      </c>
      <c r="J6" s="177">
        <f t="shared" si="0"/>
        <v>4.0654982951217368E-2</v>
      </c>
      <c r="K6" s="177">
        <f t="shared" si="0"/>
        <v>4.1976269897131935E-2</v>
      </c>
      <c r="L6" s="177">
        <f t="shared" si="0"/>
        <v>4.3340498668788724E-2</v>
      </c>
      <c r="M6" s="177">
        <f t="shared" si="0"/>
        <v>4.4749064875524359E-2</v>
      </c>
      <c r="N6" s="177">
        <f t="shared" si="0"/>
        <v>4.6203409483978899E-2</v>
      </c>
      <c r="O6" s="177">
        <f t="shared" si="0"/>
        <v>4.770502029220821E-2</v>
      </c>
      <c r="P6" s="177">
        <f t="shared" si="0"/>
        <v>4.9255433451704973E-2</v>
      </c>
      <c r="Q6" s="177">
        <f t="shared" si="0"/>
        <v>5.0856235038885381E-2</v>
      </c>
      <c r="R6" s="177">
        <f t="shared" si="0"/>
        <v>5.2509062677649154E-2</v>
      </c>
      <c r="S6" s="177">
        <f t="shared" si="0"/>
        <v>5.4215607214672751E-2</v>
      </c>
      <c r="T6" s="177">
        <f t="shared" si="0"/>
        <v>5.5977614449149615E-2</v>
      </c>
      <c r="U6" s="177">
        <f t="shared" si="0"/>
        <v>5.7796886918746973E-2</v>
      </c>
      <c r="V6" s="177">
        <f t="shared" si="0"/>
        <v>5.9675285743606248E-2</v>
      </c>
      <c r="W6" s="177">
        <f t="shared" si="0"/>
        <v>6.1614732530273449E-2</v>
      </c>
      <c r="X6" s="177">
        <f t="shared" si="0"/>
        <v>6.3617211337507334E-2</v>
      </c>
      <c r="Y6" s="177">
        <f t="shared" si="0"/>
        <v>6.5684770705976323E-2</v>
      </c>
      <c r="Z6" s="177">
        <f t="shared" si="0"/>
        <v>6.7819525753920556E-2</v>
      </c>
      <c r="AA6" s="111">
        <f>Z6*(1+$B$6)</f>
        <v>7.0023660340922972E-2</v>
      </c>
    </row>
    <row r="7" spans="1:27" thickBot="1" x14ac:dyDescent="0.35">
      <c r="A7" s="67" t="s">
        <v>45</v>
      </c>
      <c r="B7" s="171"/>
      <c r="C7" s="173">
        <f t="shared" ref="C7:AA7" si="1">NPV(C6,C5)</f>
        <v>-270708.3292978208</v>
      </c>
      <c r="D7" s="90">
        <f t="shared" si="1"/>
        <v>28320.308755328995</v>
      </c>
      <c r="E7" s="90">
        <f t="shared" si="1"/>
        <v>28608.216059957791</v>
      </c>
      <c r="F7" s="90">
        <f t="shared" si="1"/>
        <v>28899.289463613935</v>
      </c>
      <c r="G7" s="90">
        <f t="shared" si="1"/>
        <v>29193.527711204526</v>
      </c>
      <c r="H7" s="90">
        <f t="shared" si="1"/>
        <v>28953.425692849567</v>
      </c>
      <c r="I7" s="90">
        <f t="shared" si="1"/>
        <v>29254.622887952657</v>
      </c>
      <c r="J7" s="90">
        <f t="shared" si="1"/>
        <v>29558.988259221485</v>
      </c>
      <c r="K7" s="90">
        <f t="shared" si="1"/>
        <v>29866.512660007069</v>
      </c>
      <c r="L7" s="90">
        <f t="shared" si="1"/>
        <v>30177.184596339019</v>
      </c>
      <c r="M7" s="90">
        <f t="shared" si="1"/>
        <v>30490.990119572165</v>
      </c>
      <c r="N7" s="90">
        <f t="shared" si="1"/>
        <v>30807.912716206534</v>
      </c>
      <c r="O7" s="90">
        <f t="shared" si="1"/>
        <v>31127.933194913923</v>
      </c>
      <c r="P7" s="90">
        <f t="shared" si="1"/>
        <v>31451.029570823019</v>
      </c>
      <c r="Q7" s="90">
        <f t="shared" si="1"/>
        <v>31777.176947123597</v>
      </c>
      <c r="R7" s="90">
        <f t="shared" si="1"/>
        <v>32106.34739406567</v>
      </c>
      <c r="S7" s="90">
        <f t="shared" si="1"/>
        <v>32438.509825441619</v>
      </c>
      <c r="T7" s="90">
        <f t="shared" si="1"/>
        <v>32773.629872657766</v>
      </c>
      <c r="U7" s="90">
        <f t="shared" si="1"/>
        <v>33111.669756516698</v>
      </c>
      <c r="V7" s="90">
        <f t="shared" si="1"/>
        <v>33452.588156848826</v>
      </c>
      <c r="W7" s="90">
        <f t="shared" si="1"/>
        <v>33796.340080150869</v>
      </c>
      <c r="X7" s="90">
        <f t="shared" si="1"/>
        <v>34142.876725411021</v>
      </c>
      <c r="Y7" s="90">
        <f t="shared" si="1"/>
        <v>34492.1453483164</v>
      </c>
      <c r="Z7" s="90">
        <f t="shared" si="1"/>
        <v>34844.08912406642</v>
      </c>
      <c r="AA7" s="91">
        <f t="shared" si="1"/>
        <v>35198.647009034074</v>
      </c>
    </row>
    <row r="8" spans="1:27" thickBot="1" x14ac:dyDescent="0.35">
      <c r="A8" s="10" t="s">
        <v>74</v>
      </c>
      <c r="B8" s="302">
        <f>SUM(C7:AA7)</f>
        <v>484135.6326298028</v>
      </c>
      <c r="C8" s="303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</row>
    <row r="9" spans="1:27" thickBot="1" x14ac:dyDescent="0.35">
      <c r="A9" s="291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2"/>
      <c r="T9" s="292"/>
      <c r="U9" s="292"/>
      <c r="V9" s="292"/>
    </row>
    <row r="10" spans="1:27" ht="14.45" x14ac:dyDescent="0.3">
      <c r="A10" s="86" t="s">
        <v>46</v>
      </c>
      <c r="B10" s="163"/>
      <c r="C10" s="166">
        <f>-('Conto Economico prospettico'!B28)</f>
        <v>15000</v>
      </c>
      <c r="D10" s="92">
        <f>-('Conto Economico prospettico'!C28)</f>
        <v>15000</v>
      </c>
      <c r="E10" s="92">
        <f>-('Conto Economico prospettico'!D28)</f>
        <v>15000</v>
      </c>
      <c r="F10" s="92">
        <f>-('Conto Economico prospettico'!E28)</f>
        <v>15000</v>
      </c>
      <c r="G10" s="92">
        <f>-('Conto Economico prospettico'!F28)</f>
        <v>15000</v>
      </c>
      <c r="H10" s="92">
        <f>-('Conto Economico prospettico'!G28)</f>
        <v>15000</v>
      </c>
      <c r="I10" s="92">
        <f>-('Conto Economico prospettico'!H28)</f>
        <v>15000</v>
      </c>
      <c r="J10" s="92">
        <f>-('Conto Economico prospettico'!I28)</f>
        <v>15000</v>
      </c>
      <c r="K10" s="92">
        <f>-('Conto Economico prospettico'!J28)</f>
        <v>15000</v>
      </c>
      <c r="L10" s="92">
        <f>-('Conto Economico prospettico'!K28)</f>
        <v>15000</v>
      </c>
      <c r="M10" s="92">
        <f>-('Conto Economico prospettico'!L28)</f>
        <v>15000</v>
      </c>
      <c r="N10" s="92">
        <f>-('Conto Economico prospettico'!M28)</f>
        <v>15000</v>
      </c>
      <c r="O10" s="92">
        <f>-('Conto Economico prospettico'!N28)</f>
        <v>15000</v>
      </c>
      <c r="P10" s="92">
        <f>-('Conto Economico prospettico'!O28)</f>
        <v>15000</v>
      </c>
      <c r="Q10" s="92">
        <f>-('Conto Economico prospettico'!P28)</f>
        <v>15000</v>
      </c>
      <c r="R10" s="92">
        <f>-('Conto Economico prospettico'!Q28)</f>
        <v>15000</v>
      </c>
      <c r="S10" s="92">
        <f>-('Conto Economico prospettico'!R28)</f>
        <v>15000</v>
      </c>
      <c r="T10" s="92">
        <f>-('Conto Economico prospettico'!S28)</f>
        <v>15000</v>
      </c>
      <c r="U10" s="92">
        <f>-('Conto Economico prospettico'!T28)</f>
        <v>15000</v>
      </c>
      <c r="V10" s="92">
        <f>-('Conto Economico prospettico'!U28)</f>
        <v>15000</v>
      </c>
      <c r="W10" s="92">
        <f>-('Conto Economico prospettico'!V28)</f>
        <v>15000</v>
      </c>
      <c r="X10" s="92">
        <f>-('Conto Economico prospettico'!W28)</f>
        <v>15000</v>
      </c>
      <c r="Y10" s="92">
        <f>-('Conto Economico prospettico'!X28)</f>
        <v>15000</v>
      </c>
      <c r="Z10" s="92">
        <f>-('Conto Economico prospettico'!Y28)</f>
        <v>15000</v>
      </c>
      <c r="AA10" s="93">
        <f>-('Conto Economico prospettico'!Z28)</f>
        <v>15000</v>
      </c>
    </row>
    <row r="11" spans="1:27" ht="14.45" x14ac:dyDescent="0.3">
      <c r="A11" s="66" t="s">
        <v>43</v>
      </c>
      <c r="B11" s="164"/>
      <c r="C11" s="167">
        <f>'Cash Flow'!B13</f>
        <v>-279506.34999999998</v>
      </c>
      <c r="D11" s="94">
        <f>'Cash Flow'!C13</f>
        <v>29270.632116000001</v>
      </c>
      <c r="E11" s="94">
        <f>'Cash Flow'!D13</f>
        <v>29599.400004750016</v>
      </c>
      <c r="F11" s="94">
        <f>'Cash Flow'!E13</f>
        <v>29933.099411831252</v>
      </c>
      <c r="G11" s="94">
        <f>'Cash Flow'!F13</f>
        <v>30271.804310018691</v>
      </c>
      <c r="H11" s="94">
        <f>'Cash Flow'!G13</f>
        <v>30057.589781678966</v>
      </c>
      <c r="I11" s="94">
        <f>'Cash Flow'!H13</f>
        <v>30406.532035414166</v>
      </c>
      <c r="J11" s="94">
        <f>'Cash Flow'!I13</f>
        <v>30760.708422955366</v>
      </c>
      <c r="K11" s="94">
        <f>'Cash Flow'!J13</f>
        <v>31120.197456309634</v>
      </c>
      <c r="L11" s="94">
        <f>'Cash Flow'!K13</f>
        <v>31485.078825164441</v>
      </c>
      <c r="M11" s="94">
        <f>'Cash Flow'!L13</f>
        <v>31855.433414551873</v>
      </c>
      <c r="N11" s="94">
        <f>'Cash Flow'!M13</f>
        <v>32231.343322780107</v>
      </c>
      <c r="O11" s="94">
        <f>'Cash Flow'!N13</f>
        <v>32612.891879631796</v>
      </c>
      <c r="P11" s="94">
        <f>'Cash Flow'!O13</f>
        <v>33000.163664836298</v>
      </c>
      <c r="Q11" s="94">
        <f>'Cash Flow'!P13</f>
        <v>33393.244526818766</v>
      </c>
      <c r="R11" s="94">
        <f>'Cash Flow'!Q13</f>
        <v>33792.221601731042</v>
      </c>
      <c r="S11" s="94">
        <f>'Cash Flow'!R13</f>
        <v>34197.183332767061</v>
      </c>
      <c r="T11" s="94">
        <f>'Cash Flow'!S13</f>
        <v>34608.21948976854</v>
      </c>
      <c r="U11" s="94">
        <f>'Cash Flow'!T13</f>
        <v>35025.421189124994</v>
      </c>
      <c r="V11" s="94">
        <f>'Cash Flow'!U13</f>
        <v>35448.88091397196</v>
      </c>
      <c r="W11" s="94">
        <f>'Cash Flow'!V13</f>
        <v>35878.692534691523</v>
      </c>
      <c r="X11" s="94">
        <f>'Cash Flow'!W13</f>
        <v>36314.951329721953</v>
      </c>
      <c r="Y11" s="94">
        <f>'Cash Flow'!X13</f>
        <v>36757.754006677766</v>
      </c>
      <c r="Z11" s="94">
        <f>'Cash Flow'!Y13</f>
        <v>37207.198723787944</v>
      </c>
      <c r="AA11" s="95">
        <f>'Cash Flow'!Z13</f>
        <v>37663.385111654723</v>
      </c>
    </row>
    <row r="12" spans="1:27" s="2" customFormat="1" thickBot="1" x14ac:dyDescent="0.35">
      <c r="A12" s="67" t="s">
        <v>69</v>
      </c>
      <c r="B12" s="165"/>
      <c r="C12" s="168">
        <f>C11/C10</f>
        <v>-18.633756666666667</v>
      </c>
      <c r="D12" s="97">
        <f>D11/D10</f>
        <v>1.9513754744</v>
      </c>
      <c r="E12" s="97">
        <f t="shared" ref="E12:AA12" si="2">E11/E10</f>
        <v>1.9732933336500011</v>
      </c>
      <c r="F12" s="97">
        <f t="shared" si="2"/>
        <v>1.9955399607887501</v>
      </c>
      <c r="G12" s="97">
        <f t="shared" si="2"/>
        <v>2.0181202873345794</v>
      </c>
      <c r="H12" s="97">
        <f t="shared" si="2"/>
        <v>2.0038393187785979</v>
      </c>
      <c r="I12" s="97">
        <f t="shared" si="2"/>
        <v>2.0271021356942778</v>
      </c>
      <c r="J12" s="97">
        <f t="shared" si="2"/>
        <v>2.0507138948636912</v>
      </c>
      <c r="K12" s="97">
        <f t="shared" si="2"/>
        <v>2.0746798304206422</v>
      </c>
      <c r="L12" s="97">
        <f t="shared" si="2"/>
        <v>2.0990052550109626</v>
      </c>
      <c r="M12" s="97">
        <f t="shared" si="2"/>
        <v>2.1236955609701247</v>
      </c>
      <c r="N12" s="97">
        <f t="shared" si="2"/>
        <v>2.1487562215186737</v>
      </c>
      <c r="O12" s="97">
        <f t="shared" si="2"/>
        <v>2.1741927919754529</v>
      </c>
      <c r="P12" s="97">
        <f t="shared" si="2"/>
        <v>2.2000109109890866</v>
      </c>
      <c r="Q12" s="97">
        <f t="shared" si="2"/>
        <v>2.2262163017879177</v>
      </c>
      <c r="R12" s="97">
        <f t="shared" si="2"/>
        <v>2.252814773448736</v>
      </c>
      <c r="S12" s="97">
        <f t="shared" si="2"/>
        <v>2.2798122221844705</v>
      </c>
      <c r="T12" s="97">
        <f t="shared" si="2"/>
        <v>2.3072146326512359</v>
      </c>
      <c r="U12" s="97">
        <f t="shared" si="2"/>
        <v>2.3350280792749998</v>
      </c>
      <c r="V12" s="97">
        <f t="shared" si="2"/>
        <v>2.3632587275981307</v>
      </c>
      <c r="W12" s="97">
        <f t="shared" si="2"/>
        <v>2.3919128356461017</v>
      </c>
      <c r="X12" s="97">
        <f t="shared" si="2"/>
        <v>2.4209967553147966</v>
      </c>
      <c r="Y12" s="97">
        <f t="shared" si="2"/>
        <v>2.4505169337785175</v>
      </c>
      <c r="Z12" s="97">
        <f t="shared" si="2"/>
        <v>2.4804799149191963</v>
      </c>
      <c r="AA12" s="98">
        <f t="shared" si="2"/>
        <v>2.5108923407769814</v>
      </c>
    </row>
  </sheetData>
  <mergeCells count="3">
    <mergeCell ref="A9:V9"/>
    <mergeCell ref="A1:AA3"/>
    <mergeCell ref="B8:C8"/>
  </mergeCells>
  <conditionalFormatting sqref="C5:AA5 C7:AA7 B8 D8:AA8">
    <cfRule type="cellIs" dxfId="1" priority="4" operator="lessThan">
      <formula>0</formula>
    </cfRule>
  </conditionalFormatting>
  <conditionalFormatting sqref="C10:AA12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Quadro Economico</vt:lpstr>
      <vt:lpstr>Investimenti e ammortamenti</vt:lpstr>
      <vt:lpstr>Conto Economico prospettico</vt:lpstr>
      <vt:lpstr>Stato Patrimoniale prospettico</vt:lpstr>
      <vt:lpstr>Cash Flow</vt:lpstr>
      <vt:lpstr>VAN e DSCR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Lafauci</dc:creator>
  <cp:lastModifiedBy>Antonio Oddone</cp:lastModifiedBy>
  <cp:lastPrinted>2023-09-12T10:32:49Z</cp:lastPrinted>
  <dcterms:created xsi:type="dcterms:W3CDTF">2015-06-05T18:19:34Z</dcterms:created>
  <dcterms:modified xsi:type="dcterms:W3CDTF">2023-09-12T10:33:01Z</dcterms:modified>
</cp:coreProperties>
</file>